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65401" yWindow="65446" windowWidth="12120" windowHeight="9120" tabRatio="940" activeTab="1"/>
  </bookViews>
  <sheets>
    <sheet name="Anexo VI" sheetId="1" r:id="rId1"/>
    <sheet name="Anexo X - Educação" sheetId="2" r:id="rId2"/>
    <sheet name="Anexo XVI - Saúde " sheetId="3" r:id="rId3"/>
    <sheet name="Anexo XVIII - Simplificado" sheetId="4" r:id="rId4"/>
  </sheets>
  <definedNames>
    <definedName name="_xlnm.Print_Area" localSheetId="2">'Anexo XVI - Saúde '!$A$1:$F$81</definedName>
    <definedName name="_xlnm.Print_Area" localSheetId="3">'Anexo XVIII - Simplificado'!$A$1:$E$65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</definedNames>
  <calcPr fullCalcOnLoad="1"/>
</workbook>
</file>

<file path=xl/sharedStrings.xml><?xml version="1.0" encoding="utf-8"?>
<sst xmlns="http://schemas.openxmlformats.org/spreadsheetml/2006/main" count="480" uniqueCount="327">
  <si>
    <t>DESPESAS LIQUIDADAS</t>
  </si>
  <si>
    <t>DESPESAS</t>
  </si>
  <si>
    <t>(d)</t>
  </si>
  <si>
    <t>(e)</t>
  </si>
  <si>
    <t>(g)</t>
  </si>
  <si>
    <t>DESPESAS CORRENTES</t>
  </si>
  <si>
    <t>DESPESAS DE CAPITAL</t>
  </si>
  <si>
    <t>FONTE:</t>
  </si>
  <si>
    <t>TOTAL</t>
  </si>
  <si>
    <t>(-) RESTOS A PAGAR INSCRITOS NO EXERCÍCIO SEM DISPONIBILIDADE FINANCEIRA</t>
  </si>
  <si>
    <t>DE RECURSOS PRÓPRIOS VINCULADOS¹</t>
  </si>
  <si>
    <t xml:space="preserve">    Pessoal e Encargos Sociais</t>
  </si>
  <si>
    <t xml:space="preserve">    Outras Despesas Correntes</t>
  </si>
  <si>
    <t>(b/a) x 100</t>
  </si>
  <si>
    <t>(d/c) x 100</t>
  </si>
  <si>
    <t>(e/V e) x 100</t>
  </si>
  <si>
    <t>(g/total g) x 100</t>
  </si>
  <si>
    <t>DESPESAS COM SAÚDE (V) = (IV)</t>
  </si>
  <si>
    <t>TOTAL DAS DESPESAS PRÓPRIAS COM AÇÕES E SERVIÇOS PÚBLICOS DE SAÚDE (VI)</t>
  </si>
  <si>
    <t>RESTOS A PAGAR DE DESPESAS PRÓPRIAS COM AÇÕES E SERVIÇOS PÚBLICOS DE SAÚDE (VII)</t>
  </si>
  <si>
    <t>E LEGAIS - LIMITE CONSTITUCIONAL &lt;%&gt;² [(VI - VII f) / I]</t>
  </si>
  <si>
    <t xml:space="preserve">    Impostos</t>
  </si>
  <si>
    <t>Outras Subfunções</t>
  </si>
  <si>
    <t xml:space="preserve">    Receitas de Transferências Constitucionais e Legais</t>
  </si>
  <si>
    <t>(f)</t>
  </si>
  <si>
    <t>PREFEITURA MUNICIPAL DE CASTELO-ES</t>
  </si>
  <si>
    <t>1º SEMESTRE DE 2009 - JANEIRO A JUNHO</t>
  </si>
  <si>
    <t>Mínimo Anual de 25% das Receitas de Impostos na Manutenção e Desenvolvimento do Ensino</t>
  </si>
  <si>
    <t>DESPESAS COM SAÚDE</t>
  </si>
  <si>
    <t>(Por Grupo de Natureza da Despesa)</t>
  </si>
  <si>
    <t xml:space="preserve">    Juros e Encargos da Dívida</t>
  </si>
  <si>
    <t xml:space="preserve">    Investimentos </t>
  </si>
  <si>
    <t xml:space="preserve">    Inversões Financeiras</t>
  </si>
  <si>
    <t xml:space="preserve">    Amortização da Dívida</t>
  </si>
  <si>
    <t>DESPESAS COM AÇÕES E SERVIÇOS PÚBLICOS DE SAÚDE</t>
  </si>
  <si>
    <t>(-) DESPESAS COM INATIVOS E PENSIONISTAS</t>
  </si>
  <si>
    <t>(Por Subfunção)</t>
  </si>
  <si>
    <t>Atenção Básica</t>
  </si>
  <si>
    <t>Assistência Hospitalar e Ambulatorial</t>
  </si>
  <si>
    <t>Suporte Profilático e Terapêutico</t>
  </si>
  <si>
    <t>Vigilância Sanitária</t>
  </si>
  <si>
    <t>Vigilância Epidemiológica</t>
  </si>
  <si>
    <t>Alimentação e Nutrição</t>
  </si>
  <si>
    <t>RECEITAS DE OPERAÇÕES DE CRÉDITO VINCULADAS À SAÚDE (III)</t>
  </si>
  <si>
    <t>OUTRAS RECEITAS ORÇAMENTÁRIAS</t>
  </si>
  <si>
    <t>TRANSFERÊNCIA DE RECURSOS DO SISTEMA ÚNICO DE SAÚDE-SUS (II)</t>
  </si>
  <si>
    <r>
      <t>TOTAL</t>
    </r>
    <r>
      <rPr>
        <sz val="8"/>
        <color indexed="12"/>
        <rFont val="Times New Roman"/>
        <family val="1"/>
      </rPr>
      <t xml:space="preserve"> </t>
    </r>
    <r>
      <rPr>
        <sz val="8"/>
        <rFont val="Times New Roman"/>
        <family val="1"/>
      </rPr>
      <t>(IV)</t>
    </r>
  </si>
  <si>
    <t>DEMONSTRATIVO SIMPLIFICADO DO RELATÓRIO RESUMIDO DA EXECUÇÃO ORÇAMENTÁRIA</t>
  </si>
  <si>
    <t>Despesas Empenhadas</t>
  </si>
  <si>
    <t>Despesas Liquidadas</t>
  </si>
  <si>
    <t>DESPESAS POR FUNÇÃO/SUBFUNÇÃO</t>
  </si>
  <si>
    <t>RECEITA CORRENTE LÍQUIDA - RCL</t>
  </si>
  <si>
    <t>Receita Corrente Líquida</t>
  </si>
  <si>
    <t>Meta Fixada no</t>
  </si>
  <si>
    <t>Resultado Apurado</t>
  </si>
  <si>
    <t>% em Relação à Meta</t>
  </si>
  <si>
    <t>RESULTADOS NOMINAL E PRIMÁRIO</t>
  </si>
  <si>
    <t>Anexo de Metas</t>
  </si>
  <si>
    <t>Fiscais da LDO</t>
  </si>
  <si>
    <t>Resultado Nominal</t>
  </si>
  <si>
    <t>Resultado Primário</t>
  </si>
  <si>
    <t>Inscrição</t>
  </si>
  <si>
    <t>Cancelamento</t>
  </si>
  <si>
    <t>Pagamento</t>
  </si>
  <si>
    <t xml:space="preserve">Saldo </t>
  </si>
  <si>
    <t xml:space="preserve">    RESTOS A PAGAR PROCESSADOS</t>
  </si>
  <si>
    <t xml:space="preserve">        Poder Executivo</t>
  </si>
  <si>
    <t xml:space="preserve">        Poder Legislativo</t>
  </si>
  <si>
    <t xml:space="preserve">        Poder Judiciário</t>
  </si>
  <si>
    <t xml:space="preserve">        Ministério Público</t>
  </si>
  <si>
    <t xml:space="preserve">    RESTOS A PAGAR NÃO-PROCESSADOS</t>
  </si>
  <si>
    <t>Valor Apurado</t>
  </si>
  <si>
    <t>Limites Constitucionais Anuais</t>
  </si>
  <si>
    <t>% Mínimo a</t>
  </si>
  <si>
    <t>RREO – ANEXO  XVI (ADCT, art. 77)</t>
  </si>
  <si>
    <t>RECEITA DE IMPOSTOS LÍQUIDA E TRANSFERÊNCIAS CONSTITUCIONAIS E LEGAIS (I)</t>
  </si>
  <si>
    <t xml:space="preserve">    Multas, Juros de Mora e Outros Encargos dos Impostos </t>
  </si>
  <si>
    <t xml:space="preserve">    Multas, Juros de Mora, Atualização Monetária e Outros Encargos da Dívida Ativa dos Impostos</t>
  </si>
  <si>
    <t>CONTROLE DE RESTOS A PAGAR  VINCULADOS À SAÚDE</t>
  </si>
  <si>
    <t>RESTOS A PAGAR INSCRITOS COM DISPONIBILIDADE FINANCEIRA</t>
  </si>
  <si>
    <t>DE RECURSO PRÓPRIOS VINCULADOS</t>
  </si>
  <si>
    <t>Inscritos em Exercícios Anteriores</t>
  </si>
  <si>
    <t>DEMONSTRATIVO DA RECEITA DE IMPOSTOS LÍQUIDA E DAS DESPESAS PRÓPRIAS COM AÇÕES E SERVIÇOS PÚBLICOS DE SAÚDE</t>
  </si>
  <si>
    <t>% Aplicado Até o Bimestre</t>
  </si>
  <si>
    <t>Aplicar no Exercício</t>
  </si>
  <si>
    <t>Valor apurado</t>
  </si>
  <si>
    <t>Limite Constitucional Anual</t>
  </si>
  <si>
    <t>Despesas Próprias com Ações e Serviços Públicos de Saúde</t>
  </si>
  <si>
    <t xml:space="preserve">  Previsão Inicial </t>
  </si>
  <si>
    <t xml:space="preserve">  Previsão Atualizada </t>
  </si>
  <si>
    <t>¹ Essa linha apresentará valor somente no Relatório Resumido da Execução Orçamentária do último bimestre do exercício.</t>
  </si>
  <si>
    <t>² Limite anual mínimo a ser cumprido no encerramento do exercício.</t>
  </si>
  <si>
    <t>Até o Semestre</t>
  </si>
  <si>
    <t>DESPESAS PRÓPRIAS COM AÇÕES E SERVIÇOS PÚBLICOS DE SAÚDE</t>
  </si>
  <si>
    <t>RREO - Anexo XVIII (LRF, Art. 48)</t>
  </si>
  <si>
    <t>(-) DESPESAS CUSTEADAS COM OUTROS RECURSOS DESTINADOS Á SAÚDE</t>
  </si>
  <si>
    <t xml:space="preserve">    Recursos de Transferências do  Sistema Único de Saúde - SUS</t>
  </si>
  <si>
    <t>-</t>
  </si>
  <si>
    <t xml:space="preserve">    Recursos de Operações de Crédito</t>
  </si>
  <si>
    <t xml:space="preserve">    Outros Recursos</t>
  </si>
  <si>
    <t>a Pagar</t>
  </si>
  <si>
    <t>(-) DEDUÇÃO PARA O FUNDEB</t>
  </si>
  <si>
    <t>PARTICIPAÇÃO DAS DESPESAS COM AÇÕES E SERVIÇOS PÚBLICOS DE SAÚDE NA RECEITA  DE IMPOSTOS LÍQUIDA E TRANSFERÊNCIAS CONSTITUCIONAIS</t>
  </si>
  <si>
    <t xml:space="preserve">  Receitas Realizadas </t>
  </si>
  <si>
    <t xml:space="preserve">  Déficit Orçamentário</t>
  </si>
  <si>
    <t xml:space="preserve">  Saldos de Exercícios Anteriores (Utilizados para Créditos Adicionais)</t>
  </si>
  <si>
    <t xml:space="preserve">  Dotação Inicial</t>
  </si>
  <si>
    <t xml:space="preserve">  Dotação Atualizada</t>
  </si>
  <si>
    <t xml:space="preserve">  Despesas Empenhadas</t>
  </si>
  <si>
    <t xml:space="preserve">  Despesas Liquidadas</t>
  </si>
  <si>
    <t xml:space="preserve">  Superávit Orçamentário</t>
  </si>
  <si>
    <t xml:space="preserve">  Créditos Adicionais</t>
  </si>
  <si>
    <t>RESTOS A PAGAR A PAGAR POR PODER E MINISTÉRIO PÚBLICO</t>
  </si>
  <si>
    <t>DESPESAS COM MANUTENÇÃO E DESENVOLVIMENTO DO ENSINO</t>
  </si>
  <si>
    <t>Mínimo Anual de 60% do FUNDEB na Remuneração do Magistério com Ensino Fundamental e Médio</t>
  </si>
  <si>
    <t>Mínimo Anual de 60% do FUNDEB na Remuneração do Magistério com Educação Infantil e Ensino Fundamental</t>
  </si>
  <si>
    <t>Complementação da União ao FUNDEB</t>
  </si>
  <si>
    <t>INSCRITOS EM EXERCÍCIOS ANTERIORES</t>
  </si>
  <si>
    <t>Cancelados em</t>
  </si>
  <si>
    <t>RELATÓRIO RESUMIDO DA EXECUÇÃO ORÇAMENTÁRIA</t>
  </si>
  <si>
    <t>BALANÇO ORÇAMENTÁRIO</t>
  </si>
  <si>
    <t>ORÇAMENTOS FISCAL E DA SEGURIDADE SOCIAL</t>
  </si>
  <si>
    <t>PREVISÃO</t>
  </si>
  <si>
    <t>RECEITAS REALIZADAS</t>
  </si>
  <si>
    <t>RECEITAS</t>
  </si>
  <si>
    <t>INICIAL</t>
  </si>
  <si>
    <t>ATUALIZADA</t>
  </si>
  <si>
    <t>No Bimestre</t>
  </si>
  <si>
    <t>%</t>
  </si>
  <si>
    <t>Até o Bimestre</t>
  </si>
  <si>
    <t>(a)</t>
  </si>
  <si>
    <t>(b)</t>
  </si>
  <si>
    <t>(b/a)</t>
  </si>
  <si>
    <t>(c)</t>
  </si>
  <si>
    <t xml:space="preserve">    Dívida Ativa dos Impostos</t>
  </si>
  <si>
    <t>DOTAÇÃO</t>
  </si>
  <si>
    <t>CLEONE GOMES DO NASCIMENTO                                                                    ALEXANDER FERRÃO</t>
  </si>
  <si>
    <t>NEILA BISSOLI</t>
  </si>
  <si>
    <t>Contadora CRC-ES n° 011102/O-9</t>
  </si>
  <si>
    <t xml:space="preserve">                      Prefeito Municipal                                                                                   Secretário Municipal de Finanças</t>
  </si>
  <si>
    <t>FONTE: Balancetes acumulados até junho/2009 da receita e da despesa orçamentárias do Fundo Municipal de Saúde.</t>
  </si>
  <si>
    <t>NOTA: Ao final de junho/2009, foi repassado à Santa Casa de Misericórdia de Castelo com recursos próprios, não vinculados ao Fundo Municipal de Saúde, o total de R$ 45.000,00, sendo R$ 23.000,00 como subvenção social e R$ 22.000,00 como obras e instalações.</t>
  </si>
  <si>
    <t>CLEONE GOMES DO NASCIMENTO                                                                               ALEXANDER FERRÃO</t>
  </si>
  <si>
    <t xml:space="preserve">  Prefeito Municipal                                                                                              Secretário Municipal de Finanças</t>
  </si>
  <si>
    <t>DEMONSTRATIVO DO RESULTADO NOMINAL</t>
  </si>
  <si>
    <t>RREO - Anexo VI (LRF, art 53, inciso III)</t>
  </si>
  <si>
    <t>R$ 1,00</t>
  </si>
  <si>
    <t>ESPECIFICAÇÃO</t>
  </si>
  <si>
    <t>SALDO</t>
  </si>
  <si>
    <t>Em 31/12/2008</t>
  </si>
  <si>
    <t>No Período Anterior</t>
  </si>
  <si>
    <t>No Período</t>
  </si>
  <si>
    <t>DÍVIDA CONSOLIDADA (I)</t>
  </si>
  <si>
    <t>DEDUÇÕES (II)</t>
  </si>
  <si>
    <t>Ativo Disponível</t>
  </si>
  <si>
    <t>Haveres Financeiros</t>
  </si>
  <si>
    <t>(-) Restos a Pagar Processados</t>
  </si>
  <si>
    <t>DÍVIDA CONSOLIDADA LÍQUIDA (III) = (I - II)</t>
  </si>
  <si>
    <t>RECEITA DE PRIVATIZAÇÕES (IV)</t>
  </si>
  <si>
    <t>PASSIVOS RECONHECIDOS (V)</t>
  </si>
  <si>
    <t>DÍVIDA FISCAL LÍQUIDA (VI) = (III + IV - V)</t>
  </si>
  <si>
    <t>PERÍODO DE REFERÊNCIA</t>
  </si>
  <si>
    <t>Até o Período</t>
  </si>
  <si>
    <t>(c-b)</t>
  </si>
  <si>
    <t>(c-a)</t>
  </si>
  <si>
    <t>RESULTADO NOMINAL</t>
  </si>
  <si>
    <t>DISCRIMINAÇÃO DA META FISCAL</t>
  </si>
  <si>
    <t>VALOR CORRENTE</t>
  </si>
  <si>
    <t>META DE RESULTADO NOMINAL FIXADA NO ANEXO DE METAS FISCAIS DA LDO P/ O EXERCÍCIO DE REFERÊNCIA</t>
  </si>
  <si>
    <t>REGIME PREVIDENCIÁRIO</t>
  </si>
  <si>
    <t>DÍVIDA CONSOLIDADA PREVIDENCIÁRIA (VII)</t>
  </si>
  <si>
    <t>DEDUÇÕES (VIII)</t>
  </si>
  <si>
    <t>Investimentos</t>
  </si>
  <si>
    <t>DÍVIDA CONSOLIDADA LÍQUIDA PREVIDENCIÁRIA (IX) = (VII - VIII)</t>
  </si>
  <si>
    <t>PASSIVOS RECONHECIDOS (X)</t>
  </si>
  <si>
    <t>DÍVIDA FISCAL LÍQUIDA PREVIDENCIÁRUI (XI) = (IX - X)</t>
  </si>
  <si>
    <t>CLEONE GOMES DO NASCIMENTO</t>
  </si>
  <si>
    <t>ALEXANDER FERRÃO</t>
  </si>
  <si>
    <t>PREFEITO MUNICIPAL</t>
  </si>
  <si>
    <t>SECRETÁRIO MUNICIPAL DE FINANÇAS</t>
  </si>
  <si>
    <t>PREFEITURA MUNICIPAL DE CASTELO - ES</t>
  </si>
  <si>
    <t>DEMONSTRATIVO DAS RECEITAS E DESPESAS COM MANUTENÇÃO E DESENVOLVIMENTO DO ENSINO - MDE</t>
  </si>
  <si>
    <t>3° BIMESTRE DE 2009 - MAIO E JUNHO</t>
  </si>
  <si>
    <t>RREO - ANEXO X (LDB, art. 72)</t>
  </si>
  <si>
    <t>RECEITAS DO ENSINO</t>
  </si>
  <si>
    <t>RECEITA RESULTANTE DE IMPOSTOS (caput do art. 212 da Constituição)</t>
  </si>
  <si>
    <t>(c) = (b/a)x100</t>
  </si>
  <si>
    <t>1- RECEITA DE IMPOSTOS</t>
  </si>
  <si>
    <t xml:space="preserve">    1.1- Receita Resultante do Imposto sobre a Propriedade Predial e Territorial Urbana – IPTU</t>
  </si>
  <si>
    <t xml:space="preserve">        1.1.1- IPTU</t>
  </si>
  <si>
    <t xml:space="preserve">        1.1.2- Multas, Juros de Mora e Outros Encargos do IPTU</t>
  </si>
  <si>
    <t xml:space="preserve">        1.1.3- Dívida Ativa do IPTU</t>
  </si>
  <si>
    <t xml:space="preserve">        1.1.4- Multas, Juros de Mora, Atualização Monetária e Outros Encargos da Dívida Ativa do IPTU</t>
  </si>
  <si>
    <t xml:space="preserve">        1.1.5- (–) Deduções da Receita do IPTU</t>
  </si>
  <si>
    <r>
      <t xml:space="preserve">    1.2- Receita Resultante do Imposto sobre Transmissão </t>
    </r>
    <r>
      <rPr>
        <i/>
        <sz val="8"/>
        <color indexed="8"/>
        <rFont val="Times New Roman"/>
        <family val="1"/>
      </rPr>
      <t>Inter Vivos</t>
    </r>
    <r>
      <rPr>
        <sz val="8"/>
        <color indexed="8"/>
        <rFont val="Times New Roman"/>
        <family val="1"/>
      </rPr>
      <t xml:space="preserve"> – ITBI</t>
    </r>
  </si>
  <si>
    <t xml:space="preserve">        1.2.1- ITBI</t>
  </si>
  <si>
    <t xml:space="preserve">        1.2.2- Multas, Juros de Mora e Outros Encargos do ITBI</t>
  </si>
  <si>
    <t xml:space="preserve">        1.2.3- Dívida Ativa do ITBI</t>
  </si>
  <si>
    <t xml:space="preserve">        1.2.4- Multas, Juros de Mora, Atualização Monetária e Outros Encargos da Dívida Ativa do ITBI</t>
  </si>
  <si>
    <t xml:space="preserve">        1.2.5- (–) Deduções da Receita do ITBI</t>
  </si>
  <si>
    <t xml:space="preserve">    1.3- Receita Resultante do Imposto sobre Serviços de Qualquer Natureza – ISS</t>
  </si>
  <si>
    <t xml:space="preserve">        1.3.1- ISS</t>
  </si>
  <si>
    <t xml:space="preserve">        1.3.2- Multas, Juros de Mora e Outros Encargos do ISS</t>
  </si>
  <si>
    <t xml:space="preserve">        1.3.3- Dívida Ativa do ISS</t>
  </si>
  <si>
    <t xml:space="preserve">        1.3.4- Multas, Juros de Mora, Atualização Monetária e Outros Encargos da Dívida Ativa do ISS</t>
  </si>
  <si>
    <t xml:space="preserve">        1.3.5- (–) Deduções da Receita do ISS</t>
  </si>
  <si>
    <r>
      <t xml:space="preserve">    1.4- Receita Resultante do Imposto de Renda Retido na Fonte </t>
    </r>
    <r>
      <rPr>
        <sz val="8"/>
        <color indexed="8"/>
        <rFont val="Times New Roman"/>
        <family val="1"/>
      </rPr>
      <t>–</t>
    </r>
    <r>
      <rPr>
        <sz val="8"/>
        <rFont val="Times New Roman"/>
        <family val="1"/>
      </rPr>
      <t xml:space="preserve"> IRRF</t>
    </r>
  </si>
  <si>
    <r>
      <t xml:space="preserve">        1.4.1- </t>
    </r>
    <r>
      <rPr>
        <sz val="8"/>
        <rFont val="Times New Roman"/>
        <family val="1"/>
      </rPr>
      <t>IRRF</t>
    </r>
  </si>
  <si>
    <r>
      <t xml:space="preserve">        1.4.2- </t>
    </r>
    <r>
      <rPr>
        <sz val="8"/>
        <rFont val="Times New Roman"/>
        <family val="1"/>
      </rPr>
      <t>Multas, Juros de Mora e Outros Encargos do IRRF</t>
    </r>
  </si>
  <si>
    <r>
      <t xml:space="preserve">        1.4.3- </t>
    </r>
    <r>
      <rPr>
        <sz val="8"/>
        <rFont val="Times New Roman"/>
        <family val="1"/>
      </rPr>
      <t>Dívida Ativa do IRRF</t>
    </r>
  </si>
  <si>
    <r>
      <t xml:space="preserve">        1.4.4- </t>
    </r>
    <r>
      <rPr>
        <sz val="8"/>
        <rFont val="Times New Roman"/>
        <family val="1"/>
      </rPr>
      <t>Multas, Juros de Mora, Atualização Monetária e Outros Encargos da Dívida Ativa do IRRF</t>
    </r>
  </si>
  <si>
    <t xml:space="preserve">        1.4.5- (–) Deduções da Receita do IRRF</t>
  </si>
  <si>
    <r>
      <t xml:space="preserve">    1.5- Receita Resultante do Imposto Territorial Rural </t>
    </r>
    <r>
      <rPr>
        <sz val="8"/>
        <color indexed="8"/>
        <rFont val="Times New Roman"/>
        <family val="1"/>
      </rPr>
      <t>–</t>
    </r>
    <r>
      <rPr>
        <sz val="8"/>
        <rFont val="Times New Roman"/>
        <family val="1"/>
      </rPr>
      <t xml:space="preserve"> ITR (CF, art. 153, §4º, inciso III)</t>
    </r>
  </si>
  <si>
    <r>
      <t xml:space="preserve">        1.5.1- </t>
    </r>
    <r>
      <rPr>
        <sz val="8"/>
        <rFont val="Times New Roman"/>
        <family val="1"/>
      </rPr>
      <t>ITR</t>
    </r>
  </si>
  <si>
    <r>
      <t xml:space="preserve">        1.5.2- </t>
    </r>
    <r>
      <rPr>
        <sz val="8"/>
        <rFont val="Times New Roman"/>
        <family val="1"/>
      </rPr>
      <t>Multas, Juros de Mora e Outros Encargos do ITR</t>
    </r>
  </si>
  <si>
    <r>
      <t xml:space="preserve">        1.5.3- </t>
    </r>
    <r>
      <rPr>
        <sz val="8"/>
        <rFont val="Times New Roman"/>
        <family val="1"/>
      </rPr>
      <t>Dívida Ativa do ITR</t>
    </r>
  </si>
  <si>
    <r>
      <t xml:space="preserve">        1.5.4- </t>
    </r>
    <r>
      <rPr>
        <sz val="8"/>
        <rFont val="Times New Roman"/>
        <family val="1"/>
      </rPr>
      <t>Multas, Juros de Mora, Atualização Monetária e Outros Encargos da Dívida Ativa do ITR</t>
    </r>
  </si>
  <si>
    <t xml:space="preserve">        1.5.5- (–) Deduções da Receita do ITR</t>
  </si>
  <si>
    <t xml:space="preserve">2- RECEITA DE TRANSFERÊNCIAS CONSTITUCIONAIS E LEGAIS </t>
  </si>
  <si>
    <t xml:space="preserve">    2.1- Cota-Parte FPM </t>
  </si>
  <si>
    <t xml:space="preserve">        2.1.1- Parcela referente à CF, art. 159, I, alínea b</t>
  </si>
  <si>
    <t xml:space="preserve">        2.1.2- Parcela referente à CF, art. 159, I, alínea d</t>
  </si>
  <si>
    <t xml:space="preserve">    2.2- Cota-Parte ICMS </t>
  </si>
  <si>
    <t xml:space="preserve">    2.3- ICMS-Desoneração – L.C. nº87/1996 </t>
  </si>
  <si>
    <t xml:space="preserve">    2.4- Cota-Parte IPI-Exportação </t>
  </si>
  <si>
    <t xml:space="preserve">    2.5- Cota-Parte ITR </t>
  </si>
  <si>
    <t xml:space="preserve">    2.6- Cota-Parte IPVA </t>
  </si>
  <si>
    <t xml:space="preserve">    2.7- Cota-Parte IOF-Ouro </t>
  </si>
  <si>
    <t>3- TOTAL DA RECEITA DE IMPOSTOS (1 + 2)</t>
  </si>
  <si>
    <t>RECEITAS ADICIONAIS PARA FINANCIAMENTO DO ENSINO</t>
  </si>
  <si>
    <t>4- RECEITA DA APLICAÇÃO FINANCEIRA DE OUTROS RECURSOS DE IMPOSTOS VINCULADOS AO ENSINO</t>
  </si>
  <si>
    <t>5- RECEITA DE TRANSFERÊNCIAS DO FNDE</t>
  </si>
  <si>
    <t xml:space="preserve">    5.1- Transferências do Salário-Educação</t>
  </si>
  <si>
    <t xml:space="preserve">    5.2- Outras Transferências do FNDE</t>
  </si>
  <si>
    <t xml:space="preserve">    5.3- Aplicação Financeira dos Recursos do FNDE</t>
  </si>
  <si>
    <t>6- RECEITA DE TRANSFERÊNCIAS DE CONVÊNIOS</t>
  </si>
  <si>
    <t xml:space="preserve">    6.1- Transferências de Convênios</t>
  </si>
  <si>
    <r>
      <t xml:space="preserve">    6.2- Aplicação Financeira </t>
    </r>
    <r>
      <rPr>
        <sz val="8"/>
        <rFont val="Times New Roman"/>
        <family val="1"/>
      </rPr>
      <t xml:space="preserve">dos Recursos </t>
    </r>
    <r>
      <rPr>
        <sz val="8"/>
        <color indexed="8"/>
        <rFont val="Times New Roman"/>
        <family val="1"/>
      </rPr>
      <t>de Convênios</t>
    </r>
  </si>
  <si>
    <t>7- RECEITA DE OPERAÇÕES DE CRÉDITO</t>
  </si>
  <si>
    <r>
      <t xml:space="preserve">8- OUTRAS RECEITAS </t>
    </r>
    <r>
      <rPr>
        <sz val="8"/>
        <color indexed="8"/>
        <rFont val="Times New Roman"/>
        <family val="1"/>
      </rPr>
      <t xml:space="preserve">PARA </t>
    </r>
    <r>
      <rPr>
        <sz val="8"/>
        <rFont val="Times New Roman"/>
        <family val="1"/>
      </rPr>
      <t>FINANCIAMENTO</t>
    </r>
    <r>
      <rPr>
        <sz val="8"/>
        <color indexed="8"/>
        <rFont val="Times New Roman"/>
        <family val="1"/>
      </rPr>
      <t xml:space="preserve"> DO ENSINO</t>
    </r>
  </si>
  <si>
    <t>9 - TOTAL DAS RECEITAS ADICIONAIS PARA FINANCIAMENTO DO ENSINO (4 + 5 + 6 + 7 + 8)</t>
  </si>
  <si>
    <t>FUNDEB</t>
  </si>
  <si>
    <t>RECEITAS DO FUNDEB</t>
  </si>
  <si>
    <t xml:space="preserve">10- RECEITAS DESTINADAS AO FUNDEB </t>
  </si>
  <si>
    <t xml:space="preserve">    10.1- Cota-Parte FPM Destinada ao FUNDEB – (20% de 2.1.1)</t>
  </si>
  <si>
    <t xml:space="preserve">    10.2- Cota-Parte ICMS Destinada ao FUNDEB – (20% de 2.2)</t>
  </si>
  <si>
    <t xml:space="preserve">    10.3- ICMS-Desoneração Destinada ao FUNDEB – (20% de 2.3)</t>
  </si>
  <si>
    <t xml:space="preserve">    10.4- Cota-Parte IPI-Exportação Destinada ao FUNDEB – (20% de 2.4)</t>
  </si>
  <si>
    <t xml:space="preserve">    10.5- Cota-Parte ITR ou ITR Arrecadado Destinados ao FUNDEB – (20% de ((1.5 – 1.5.5) + 2.5))</t>
  </si>
  <si>
    <t xml:space="preserve">    10.6- Cota-Parte IPVA Destinada ao FUNDEB – (20% de 2.6)</t>
  </si>
  <si>
    <t>11- RECEITAS RECEBIDAS DO FUNDEB</t>
  </si>
  <si>
    <t xml:space="preserve">    11.1- Transferências de Recursos do FUNDEB</t>
  </si>
  <si>
    <t xml:space="preserve">    11.2- Complementação da União ao FUNDEB</t>
  </si>
  <si>
    <t xml:space="preserve">    11.3- Receita de Aplicação Financeira dos Recursos do FUNDEB</t>
  </si>
  <si>
    <t>12- RESULTADO LÍQUIDO DAS TRANSFERÊNCIAS DO FUNDEB (11.1 – 10)</t>
  </si>
  <si>
    <t>[SE RESULTADO LÍQUIDO DA TRANSFERÊNCIA (12) &gt; 0] = ACRÉSCIMO RESULTANTE DAS TRANSFERÊNCIAS DO FUNDEB</t>
  </si>
  <si>
    <t>[SE RESULTADO LÍQUIDO DA TRANSFERÊNCIA (12) &lt; 0] = DECRÉSCIMO RESULTANTE DAS TRANSFERÊNCIAS DO FUNDEB</t>
  </si>
  <si>
    <t>DESPESAS DO FUNDEB</t>
  </si>
  <si>
    <t>(f) = (e/d)x100</t>
  </si>
  <si>
    <t>13- PAGAMENTO DOS PROFISSIONAIS DO MAGISTÉRIO</t>
  </si>
  <si>
    <t xml:space="preserve">   13.1- Com Educação Infantil</t>
  </si>
  <si>
    <t xml:space="preserve">   13.2- Com Ensino Fundamental </t>
  </si>
  <si>
    <t>14- OUTRAS DESPESAS</t>
  </si>
  <si>
    <t xml:space="preserve">   14.1- Com Educação Infantil</t>
  </si>
  <si>
    <t xml:space="preserve">   14.2- Com Ensino Fundamental</t>
  </si>
  <si>
    <t>15- TOTAL DAS DESPESAS DO FUNDEB (13 + 14)</t>
  </si>
  <si>
    <t>DEDUÇÕES PARA FINS DE LIMITE DO FUNDEB PARA PAGAMENTO DOS PROFISSIONAIS DO MAGISTÉRIO</t>
  </si>
  <si>
    <t>VALOR</t>
  </si>
  <si>
    <t>16- RESTOS A PAGAR INSCRITOS NO EXERCÍCIO SEM DISPONIBILIDADE FINANCEIRA DE RECURSOS DO FUNDEB</t>
  </si>
  <si>
    <t xml:space="preserve">17- DESPESAS CUSTEADAS COM O SUPERÁVIT FINANCEIRO, DO EXERCÍCIO ANTERIOR, DO FUNDEB </t>
  </si>
  <si>
    <t>18- TOTAL DAS DEDUÇÕES CONSIDERADAS PARA FINS DE LIMITE DO FUNDEB (16 + 17)</t>
  </si>
  <si>
    <r>
      <t>19- MÍNIMO DE 60% DO FUNDEB NA REMUNERAÇÃO DO MAGISTÉRIO COM EDUCAÇÃO INFANTIL E ENSINO FUNDAMENTAL</t>
    </r>
    <r>
      <rPr>
        <b/>
        <vertAlign val="superscript"/>
        <sz val="8"/>
        <rFont val="Times New Roman"/>
        <family val="1"/>
      </rPr>
      <t>1</t>
    </r>
    <r>
      <rPr>
        <b/>
        <sz val="8"/>
        <rFont val="Times New Roman"/>
        <family val="1"/>
      </rPr>
      <t xml:space="preserve"> ((13 – 18) / (11) x 100) %</t>
    </r>
  </si>
  <si>
    <t>CONTROLE DA UTILIZAÇÃO DE RECURSOS NO EXERCÍCIO SUBSEQÜENTE</t>
  </si>
  <si>
    <t>20 – RECURSOS RECEBIDOS DO FUNDEB EM 2008, QUE NÃO FORAM UTILIZADOS</t>
  </si>
  <si>
    <t>21 – DESPESAS CUSTEADAS COM O SALDO DO ITEM 20 ATÉ O 1º TRIMESTRE DE 2009</t>
  </si>
  <si>
    <t>MANUTENÇÃO E DESENVOLVIMENTO DO ENSINO – DESPESAS CUSTEADAS COM A RECEITA RESULTANTE DE IMPOSTOS E RECURSOS DO FUNDEB</t>
  </si>
  <si>
    <t>RECEITAS COM AÇÕES TÍPICAS DE MDE</t>
  </si>
  <si>
    <r>
      <t>22- IMPOSTOS E TRANSFERÊNCIAS DESTINADAS À MDE (25% de 3)</t>
    </r>
    <r>
      <rPr>
        <vertAlign val="superscript"/>
        <sz val="8"/>
        <rFont val="Times New Roman"/>
        <family val="1"/>
      </rPr>
      <t>3</t>
    </r>
  </si>
  <si>
    <t>DESPESAS COM AÇÕES TÍPICAS DE MDE</t>
  </si>
  <si>
    <t>23- EDUCAÇÃO INFANTIL</t>
  </si>
  <si>
    <t xml:space="preserve">    23.1- Despesas Custeadas com Recursos do FUNDEB</t>
  </si>
  <si>
    <t xml:space="preserve">    23.2- Despesas Custeadas com Outros Recursos de Impostos</t>
  </si>
  <si>
    <t>24- ENSINO FUNDAMENTAL</t>
  </si>
  <si>
    <t xml:space="preserve">    24.1- Despesas Custeadas com Recursos do FUNDEB</t>
  </si>
  <si>
    <t xml:space="preserve">    24.2- Despesas Custeadas com Outros Recursos de Impostos</t>
  </si>
  <si>
    <t>25- ENSINO MÉDIO</t>
  </si>
  <si>
    <t>26- ENSINO SUPERIOR</t>
  </si>
  <si>
    <t>27- ENSINO PROFISSIONAL NÃO INTEGRADO AO ENSINO REGULAR</t>
  </si>
  <si>
    <t>28- OUTRAS</t>
  </si>
  <si>
    <t>29- TOTAL DAS DESPESAS COM AÇÕES TÍPICAS DE MDE (23 + 24 + 25 + 26 + 27 + 28)</t>
  </si>
  <si>
    <t>DEDUÇÕES CONSIDERADAS PARA FINS DE LIMITE CONSTITUCIONAL</t>
  </si>
  <si>
    <t>30- RESULTADO LÍQUIDO DAS TRANSFERÊNCIAS DO FUNDEB = (12)</t>
  </si>
  <si>
    <t>31- DESPESAS CUSTEADAS COM A COMPLEMENTAÇÃO DO FUNDEB NO EXERCÍCIO</t>
  </si>
  <si>
    <t>32- RECEITA DE APLICAÇÃO FINANCEIRA DOS RECURSOS DO FUNDEB ATÉ O BIMESTRE = (50 h)</t>
  </si>
  <si>
    <t>33- DESPESAS CUSTEADAS COM O SUPERÁVIT FINANCEIRO, DO EXERCÍCIO ANTERIOR, DO FUNDEB</t>
  </si>
  <si>
    <t>34- DESPESAS CUSTEADAS COM O SUPERÁVIT FINANCEIRO, DO EXERCÍCIO ANTERIOR, DE OUTROS RECURSOS DE IMPOSTOS</t>
  </si>
  <si>
    <r>
      <t>35- RESTOS A PAGAR INSCRITOS NO EXERCÍCIO SEM DISPONIBILIDADE FINANCEIRA DE RECURSOS DE IMPOSTOS VINCULADOS AO ENSINO</t>
    </r>
    <r>
      <rPr>
        <vertAlign val="superscript"/>
        <sz val="8"/>
        <rFont val="Times New Roman"/>
        <family val="1"/>
      </rPr>
      <t>4</t>
    </r>
  </si>
  <si>
    <t>36- CANCELAMENTO, NO EXERCÍCIO, DE RESTOS A PAGAR INSCRITOS COM DISPONIBILIDADE FINANCEIRA DE RECURSOS DE IMPOSTOS       VINCULADOS AO ENSINO = (46 g)</t>
  </si>
  <si>
    <t>37- TOTAL DAS DEDUÇÕES CONSIDERADAS PARA FINS DE LIMITE CONSTITUCIONAL (30 + 31 + 32 + 33 + 34 + 35 + 36)</t>
  </si>
  <si>
    <t>38- TOTAL DAS DESPESAS PARA FINS DE LIMITE ((23 + 24) – (37))</t>
  </si>
  <si>
    <r>
      <t>39- MÍNIMO DE 25% DAS RECEITAS RESULTANTES DE IMPOSTOS EM MDE</t>
    </r>
    <r>
      <rPr>
        <b/>
        <vertAlign val="superscript"/>
        <sz val="8"/>
        <rFont val="Times New Roman"/>
        <family val="1"/>
      </rPr>
      <t>5</t>
    </r>
    <r>
      <rPr>
        <b/>
        <sz val="8"/>
        <rFont val="Times New Roman"/>
        <family val="1"/>
      </rPr>
      <t xml:space="preserve"> ((38) / (3) x 100) %</t>
    </r>
  </si>
  <si>
    <t>OUTRAS INFORMAÇÕES PARA CONTROLE</t>
  </si>
  <si>
    <t>OUTRAS DESPESAS CUSTEADAS COM RECEITAS ADICIONAIS PARA FINANCIAMENTO DO ENSINO</t>
  </si>
  <si>
    <r>
      <t xml:space="preserve">40- </t>
    </r>
    <r>
      <rPr>
        <sz val="8"/>
        <color indexed="8"/>
        <rFont val="Times New Roman"/>
        <family val="1"/>
      </rPr>
      <t>DESPESAS CUSTEADAS COM A</t>
    </r>
    <r>
      <rPr>
        <sz val="8"/>
        <rFont val="Times New Roman"/>
        <family val="1"/>
      </rPr>
      <t xml:space="preserve"> APLICAÇÃO FINANCEIRA DE OUTROS RECURSOS DE IMPOSTOS VINCULADOS AO ENSINO</t>
    </r>
  </si>
  <si>
    <r>
      <t xml:space="preserve">41- </t>
    </r>
    <r>
      <rPr>
        <sz val="8"/>
        <color indexed="8"/>
        <rFont val="Times New Roman"/>
        <family val="1"/>
      </rPr>
      <t xml:space="preserve">DESPESAS CUSTEADAS COM A </t>
    </r>
    <r>
      <rPr>
        <sz val="8"/>
        <rFont val="Times New Roman"/>
        <family val="1"/>
      </rPr>
      <t>CONTRIBUIÇÃO SOCIAL DO SALÁRIO-EDUCAÇÃO</t>
    </r>
  </si>
  <si>
    <r>
      <t xml:space="preserve">42- </t>
    </r>
    <r>
      <rPr>
        <sz val="8"/>
        <color indexed="8"/>
        <rFont val="Times New Roman"/>
        <family val="1"/>
      </rPr>
      <t xml:space="preserve">DESPESAS CUSTEADAS COM </t>
    </r>
    <r>
      <rPr>
        <sz val="8"/>
        <rFont val="Times New Roman"/>
        <family val="1"/>
      </rPr>
      <t>OPERAÇÕES DE CRÉDITO</t>
    </r>
  </si>
  <si>
    <r>
      <t xml:space="preserve">43- </t>
    </r>
    <r>
      <rPr>
        <sz val="8"/>
        <color indexed="8"/>
        <rFont val="Times New Roman"/>
        <family val="1"/>
      </rPr>
      <t xml:space="preserve">DESPESAS CUSTEADAS COM OUTRAS RECEITAS PARA </t>
    </r>
    <r>
      <rPr>
        <sz val="8"/>
        <rFont val="Times New Roman"/>
        <family val="1"/>
      </rPr>
      <t>FINANCIAMENTO</t>
    </r>
    <r>
      <rPr>
        <sz val="8"/>
        <color indexed="8"/>
        <rFont val="Times New Roman"/>
        <family val="1"/>
      </rPr>
      <t xml:space="preserve"> DO ENSINO</t>
    </r>
  </si>
  <si>
    <r>
      <t xml:space="preserve">44- TOTAL DAS OUTRAS DESPESAS CUSTEADAS COM </t>
    </r>
    <r>
      <rPr>
        <sz val="8"/>
        <color indexed="8"/>
        <rFont val="Times New Roman"/>
        <family val="1"/>
      </rPr>
      <t xml:space="preserve">RECEITAS ADICIONAIS PARA </t>
    </r>
    <r>
      <rPr>
        <sz val="8"/>
        <rFont val="Times New Roman"/>
        <family val="1"/>
      </rPr>
      <t>FINANCIAMENTO</t>
    </r>
    <r>
      <rPr>
        <sz val="8"/>
        <color indexed="8"/>
        <rFont val="Times New Roman"/>
        <family val="1"/>
      </rPr>
      <t xml:space="preserve"> DO ENSINO</t>
    </r>
    <r>
      <rPr>
        <sz val="8"/>
        <rFont val="Times New Roman"/>
        <family val="1"/>
      </rPr>
      <t xml:space="preserve"> (40 + 41 + 42 + 43)</t>
    </r>
  </si>
  <si>
    <t>RESTOS A PAGAR INSCRITOS COM DISPONIBILIDADE FINANCEIRA
DE RECURSOS DE IMPOSTOS VINCULADOS AO ENSINO</t>
  </si>
  <si>
    <t xml:space="preserve"> </t>
  </si>
  <si>
    <t>SALDO ATÉ O BIMESTRE</t>
  </si>
  <si>
    <t>CANCELADO EM 2009 (g)</t>
  </si>
  <si>
    <t>46- RESTOS A PAGAR DE DESPESAS COM MDE</t>
  </si>
  <si>
    <t>FLUXO FINANCEIRO DOS RECURSOS</t>
  </si>
  <si>
    <t>FUNDEB
(h)</t>
  </si>
  <si>
    <t>FUNDEF</t>
  </si>
  <si>
    <t>47- SALDO FINANCEIRO EM 31 DE DEZEMBRO DE 2008</t>
  </si>
  <si>
    <t>48- (+) INGRESSO DE RECURSOS ATÉ O BIMESTRE</t>
  </si>
  <si>
    <t>49- (-) PAGAMENTOS EFETUADOS ATÉ O BIMESTRE</t>
  </si>
  <si>
    <t>50- (+) RECEITA DE APLICAÇÃO FINANCEIRA DOS RECURSOS ATÉ O BIMESTRE</t>
  </si>
  <si>
    <t>51- (=) SALDO FINANCEIRO NO EXERCÍCIO ATUAL</t>
  </si>
  <si>
    <r>
      <t>1</t>
    </r>
    <r>
      <rPr>
        <sz val="8"/>
        <rFont val="Times New Roman"/>
        <family val="1"/>
      </rPr>
      <t xml:space="preserve"> Limites mínimos anuais a serem cumpridos no encerramento do exercício.</t>
    </r>
  </si>
  <si>
    <r>
      <t>2</t>
    </r>
    <r>
      <rPr>
        <sz val="8"/>
        <rFont val="Times New Roman"/>
        <family val="1"/>
      </rPr>
      <t xml:space="preserve"> Art. 21, § 2º, Lei 11.494/2007: “Até 5% dos recursos recebidos à conta dos Fundos, inclusive relativos à complementação da União recebidos nos termos do §1º do art. 6º desta Lei, poderão ser 
   utilizados no 1º trimestre do exercício imediatamente subseqüente, mediante abertura de crédito adicional.”</t>
    </r>
  </si>
  <si>
    <r>
      <t>3</t>
    </r>
    <r>
      <rPr>
        <sz val="8"/>
        <rFont val="Times New Roman"/>
        <family val="1"/>
      </rPr>
      <t xml:space="preserve"> Caput do artigo 212 da CF/1988</t>
    </r>
  </si>
  <si>
    <r>
      <t>4</t>
    </r>
    <r>
      <rPr>
        <sz val="8"/>
        <rFont val="Times New Roman"/>
        <family val="1"/>
      </rPr>
      <t xml:space="preserve"> Os valores referentes à parcela dos Restos a Pagar inscritos sem disponibilidade financeira vinculada à educação deverão ser informados somente no RREO do último bimestre do exercício.</t>
    </r>
  </si>
  <si>
    <r>
      <t>5</t>
    </r>
    <r>
      <rPr>
        <sz val="8"/>
        <rFont val="Times New Roman"/>
        <family val="1"/>
      </rPr>
      <t xml:space="preserve"> Limites mínimos anuais a serem cumpridos no encerramento do exercício, no âmbito de atuação prioritária, conforme LDB, art. 11, V.</t>
    </r>
  </si>
  <si>
    <t>Prefeito Municipal                                                                                   Secretário Municipal de Finanças</t>
  </si>
</sst>
</file>

<file path=xl/styles.xml><?xml version="1.0" encoding="utf-8"?>
<styleSheet xmlns="http://schemas.openxmlformats.org/spreadsheetml/2006/main">
  <numFmts count="1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,##0.00;[Red]#,##0.00"/>
    <numFmt numFmtId="165" formatCode="0.0%"/>
    <numFmt numFmtId="166" formatCode="000,000.00"/>
    <numFmt numFmtId="167" formatCode="0,000,000.00"/>
  </numFmts>
  <fonts count="1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8"/>
      <color indexed="10"/>
      <name val="Times New Roman"/>
      <family val="1"/>
    </font>
    <font>
      <sz val="8"/>
      <color indexed="12"/>
      <name val="Times New Roman"/>
      <family val="1"/>
    </font>
    <font>
      <i/>
      <sz val="8"/>
      <name val="Times New Roman"/>
      <family val="1"/>
    </font>
    <font>
      <vertAlign val="superscript"/>
      <sz val="8"/>
      <name val="Times New Roman"/>
      <family val="1"/>
    </font>
    <font>
      <sz val="15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Arial"/>
      <family val="0"/>
    </font>
    <font>
      <b/>
      <u val="single"/>
      <sz val="8"/>
      <name val="Times New Roman"/>
      <family val="1"/>
    </font>
    <font>
      <i/>
      <sz val="8"/>
      <color indexed="8"/>
      <name val="Times New Roman"/>
      <family val="1"/>
    </font>
    <font>
      <b/>
      <vertAlign val="superscript"/>
      <sz val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2">
    <xf numFmtId="0" fontId="0" fillId="0" borderId="0" xfId="0" applyAlignment="1">
      <alignment/>
    </xf>
    <xf numFmtId="8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4" fillId="0" borderId="2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4" fillId="0" borderId="7" xfId="0" applyFont="1" applyFill="1" applyBorder="1" applyAlignment="1">
      <alignment/>
    </xf>
    <xf numFmtId="0" fontId="4" fillId="0" borderId="9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37" fontId="4" fillId="0" borderId="0" xfId="0" applyNumberFormat="1" applyFont="1" applyFill="1" applyBorder="1" applyAlignment="1">
      <alignment/>
    </xf>
    <xf numFmtId="37" fontId="4" fillId="0" borderId="0" xfId="0" applyNumberFormat="1" applyFont="1" applyFill="1" applyAlignment="1">
      <alignment/>
    </xf>
    <xf numFmtId="0" fontId="4" fillId="0" borderId="3" xfId="0" applyFont="1" applyFill="1" applyBorder="1" applyAlignment="1">
      <alignment horizontal="center"/>
    </xf>
    <xf numFmtId="0" fontId="3" fillId="0" borderId="12" xfId="0" applyFont="1" applyFill="1" applyBorder="1" applyAlignment="1">
      <alignment/>
    </xf>
    <xf numFmtId="0" fontId="4" fillId="0" borderId="0" xfId="0" applyFont="1" applyFill="1" applyAlignment="1">
      <alignment horizontal="left" indent="1"/>
    </xf>
    <xf numFmtId="0" fontId="4" fillId="0" borderId="6" xfId="0" applyFont="1" applyFill="1" applyBorder="1" applyAlignment="1">
      <alignment wrapText="1"/>
    </xf>
    <xf numFmtId="0" fontId="8" fillId="0" borderId="0" xfId="0" applyFont="1" applyFill="1" applyAlignment="1">
      <alignment/>
    </xf>
    <xf numFmtId="0" fontId="3" fillId="0" borderId="1" xfId="0" applyFont="1" applyFill="1" applyBorder="1" applyAlignment="1">
      <alignment horizontal="left"/>
    </xf>
    <xf numFmtId="0" fontId="5" fillId="0" borderId="0" xfId="0" applyFont="1" applyFill="1" applyAlignment="1">
      <alignment/>
    </xf>
    <xf numFmtId="9" fontId="4" fillId="0" borderId="11" xfId="0" applyNumberFormat="1" applyFont="1" applyFill="1" applyBorder="1" applyAlignment="1">
      <alignment horizontal="center"/>
    </xf>
    <xf numFmtId="9" fontId="4" fillId="0" borderId="12" xfId="0" applyNumberFormat="1" applyFont="1" applyFill="1" applyBorder="1" applyAlignment="1">
      <alignment horizontal="center"/>
    </xf>
    <xf numFmtId="9" fontId="4" fillId="0" borderId="1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wrapText="1"/>
    </xf>
    <xf numFmtId="0" fontId="4" fillId="0" borderId="9" xfId="0" applyFont="1" applyFill="1" applyBorder="1" applyAlignment="1">
      <alignment wrapText="1"/>
    </xf>
    <xf numFmtId="0" fontId="4" fillId="0" borderId="2" xfId="0" applyFont="1" applyFill="1" applyBorder="1" applyAlignment="1">
      <alignment horizontal="left"/>
    </xf>
    <xf numFmtId="0" fontId="4" fillId="0" borderId="8" xfId="0" applyFont="1" applyFill="1" applyBorder="1" applyAlignment="1">
      <alignment horizontal="center" vertical="center"/>
    </xf>
    <xf numFmtId="164" fontId="4" fillId="0" borderId="14" xfId="0" applyNumberFormat="1" applyFont="1" applyFill="1" applyBorder="1" applyAlignment="1">
      <alignment/>
    </xf>
    <xf numFmtId="164" fontId="4" fillId="0" borderId="1" xfId="0" applyNumberFormat="1" applyFont="1" applyFill="1" applyBorder="1" applyAlignment="1">
      <alignment/>
    </xf>
    <xf numFmtId="164" fontId="4" fillId="0" borderId="4" xfId="0" applyNumberFormat="1" applyFont="1" applyFill="1" applyBorder="1" applyAlignment="1">
      <alignment horizontal="right"/>
    </xf>
    <xf numFmtId="164" fontId="4" fillId="0" borderId="5" xfId="0" applyNumberFormat="1" applyFont="1" applyFill="1" applyBorder="1" applyAlignment="1">
      <alignment horizontal="right"/>
    </xf>
    <xf numFmtId="164" fontId="4" fillId="0" borderId="14" xfId="0" applyNumberFormat="1" applyFont="1" applyFill="1" applyBorder="1" applyAlignment="1">
      <alignment horizontal="right"/>
    </xf>
    <xf numFmtId="164" fontId="4" fillId="0" borderId="10" xfId="0" applyNumberFormat="1" applyFont="1" applyFill="1" applyBorder="1" applyAlignment="1">
      <alignment/>
    </xf>
    <xf numFmtId="164" fontId="4" fillId="0" borderId="11" xfId="0" applyNumberFormat="1" applyFont="1" applyFill="1" applyBorder="1" applyAlignment="1">
      <alignment/>
    </xf>
    <xf numFmtId="164" fontId="4" fillId="0" borderId="15" xfId="0" applyNumberFormat="1" applyFont="1" applyFill="1" applyBorder="1" applyAlignment="1">
      <alignment/>
    </xf>
    <xf numFmtId="164" fontId="4" fillId="0" borderId="4" xfId="0" applyNumberFormat="1" applyFont="1" applyFill="1" applyBorder="1" applyAlignment="1">
      <alignment/>
    </xf>
    <xf numFmtId="164" fontId="4" fillId="0" borderId="5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164" fontId="4" fillId="0" borderId="12" xfId="0" applyNumberFormat="1" applyFont="1" applyFill="1" applyBorder="1" applyAlignment="1">
      <alignment/>
    </xf>
    <xf numFmtId="164" fontId="3" fillId="0" borderId="15" xfId="0" applyNumberFormat="1" applyFont="1" applyFill="1" applyBorder="1" applyAlignment="1">
      <alignment/>
    </xf>
    <xf numFmtId="164" fontId="4" fillId="0" borderId="2" xfId="0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164" fontId="4" fillId="0" borderId="8" xfId="0" applyNumberFormat="1" applyFont="1" applyFill="1" applyBorder="1" applyAlignment="1">
      <alignment/>
    </xf>
    <xf numFmtId="164" fontId="4" fillId="0" borderId="0" xfId="0" applyNumberFormat="1" applyFont="1" applyFill="1" applyAlignment="1">
      <alignment/>
    </xf>
    <xf numFmtId="164" fontId="4" fillId="0" borderId="9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164" fontId="4" fillId="0" borderId="0" xfId="0" applyNumberFormat="1" applyFont="1" applyFill="1" applyBorder="1" applyAlignment="1">
      <alignment horizontal="right"/>
    </xf>
    <xf numFmtId="164" fontId="4" fillId="0" borderId="11" xfId="0" applyNumberFormat="1" applyFont="1" applyFill="1" applyBorder="1" applyAlignment="1">
      <alignment horizontal="right"/>
    </xf>
    <xf numFmtId="164" fontId="3" fillId="0" borderId="5" xfId="0" applyNumberFormat="1" applyFont="1" applyFill="1" applyBorder="1" applyAlignment="1">
      <alignment/>
    </xf>
    <xf numFmtId="164" fontId="4" fillId="0" borderId="7" xfId="0" applyNumberFormat="1" applyFont="1" applyFill="1" applyBorder="1" applyAlignment="1">
      <alignment/>
    </xf>
    <xf numFmtId="164" fontId="3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right"/>
    </xf>
    <xf numFmtId="164" fontId="4" fillId="0" borderId="3" xfId="0" applyNumberFormat="1" applyFont="1" applyFill="1" applyBorder="1" applyAlignment="1">
      <alignment/>
    </xf>
    <xf numFmtId="164" fontId="8" fillId="0" borderId="0" xfId="0" applyNumberFormat="1" applyFont="1" applyFill="1" applyAlignment="1">
      <alignment/>
    </xf>
    <xf numFmtId="164" fontId="4" fillId="0" borderId="0" xfId="0" applyNumberFormat="1" applyFont="1" applyFill="1" applyAlignment="1">
      <alignment horizontal="center"/>
    </xf>
    <xf numFmtId="0" fontId="4" fillId="0" borderId="13" xfId="0" applyFont="1" applyFill="1" applyBorder="1" applyAlignment="1">
      <alignment/>
    </xf>
    <xf numFmtId="39" fontId="4" fillId="0" borderId="2" xfId="0" applyNumberFormat="1" applyFont="1" applyFill="1" applyBorder="1" applyAlignment="1">
      <alignment/>
    </xf>
    <xf numFmtId="39" fontId="4" fillId="0" borderId="11" xfId="0" applyNumberFormat="1" applyFont="1" applyFill="1" applyBorder="1" applyAlignment="1">
      <alignment/>
    </xf>
    <xf numFmtId="164" fontId="4" fillId="0" borderId="15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4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7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4" fillId="0" borderId="9" xfId="0" applyFont="1" applyBorder="1" applyAlignment="1">
      <alignment horizontal="center" vertical="top"/>
    </xf>
    <xf numFmtId="0" fontId="4" fillId="0" borderId="3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11" xfId="0" applyFont="1" applyBorder="1" applyAlignment="1">
      <alignment/>
    </xf>
    <xf numFmtId="39" fontId="4" fillId="0" borderId="11" xfId="0" applyNumberFormat="1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8" xfId="0" applyFont="1" applyBorder="1" applyAlignment="1">
      <alignment/>
    </xf>
    <xf numFmtId="39" fontId="4" fillId="0" borderId="15" xfId="0" applyNumberFormat="1" applyFont="1" applyBorder="1" applyAlignment="1">
      <alignment/>
    </xf>
    <xf numFmtId="164" fontId="4" fillId="0" borderId="15" xfId="0" applyNumberFormat="1" applyFont="1" applyBorder="1" applyAlignment="1">
      <alignment/>
    </xf>
    <xf numFmtId="164" fontId="4" fillId="0" borderId="1" xfId="0" applyNumberFormat="1" applyFont="1" applyBorder="1" applyAlignment="1">
      <alignment/>
    </xf>
    <xf numFmtId="0" fontId="4" fillId="0" borderId="4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Alignment="1">
      <alignment horizontal="right"/>
    </xf>
    <xf numFmtId="39" fontId="4" fillId="0" borderId="10" xfId="0" applyNumberFormat="1" applyFont="1" applyBorder="1" applyAlignment="1">
      <alignment/>
    </xf>
    <xf numFmtId="39" fontId="4" fillId="0" borderId="0" xfId="0" applyNumberFormat="1" applyFont="1" applyAlignment="1">
      <alignment/>
    </xf>
    <xf numFmtId="0" fontId="4" fillId="0" borderId="15" xfId="0" applyFont="1" applyBorder="1" applyAlignment="1">
      <alignment horizontal="center"/>
    </xf>
    <xf numFmtId="0" fontId="8" fillId="0" borderId="0" xfId="0" applyFont="1" applyFill="1" applyAlignment="1">
      <alignment horizontal="left"/>
    </xf>
    <xf numFmtId="164" fontId="4" fillId="0" borderId="6" xfId="0" applyNumberFormat="1" applyFont="1" applyFill="1" applyBorder="1" applyAlignment="1">
      <alignment horizontal="right" vertical="top" wrapText="1"/>
    </xf>
    <xf numFmtId="164" fontId="4" fillId="0" borderId="0" xfId="0" applyNumberFormat="1" applyFont="1" applyFill="1" applyBorder="1" applyAlignment="1">
      <alignment horizontal="right" vertical="top" wrapText="1"/>
    </xf>
    <xf numFmtId="0" fontId="4" fillId="0" borderId="2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164" fontId="4" fillId="0" borderId="10" xfId="0" applyNumberFormat="1" applyFont="1" applyFill="1" applyBorder="1" applyAlignment="1">
      <alignment horizontal="right"/>
    </xf>
    <xf numFmtId="0" fontId="4" fillId="0" borderId="2" xfId="0" applyFont="1" applyBorder="1" applyAlignment="1">
      <alignment horizontal="justify" vertical="top" wrapText="1"/>
    </xf>
    <xf numFmtId="0" fontId="11" fillId="0" borderId="2" xfId="0" applyFont="1" applyBorder="1" applyAlignment="1">
      <alignment horizontal="justify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9" xfId="0" applyFont="1" applyFill="1" applyBorder="1" applyAlignment="1">
      <alignment horizontal="left" vertical="top" wrapText="1"/>
    </xf>
    <xf numFmtId="164" fontId="4" fillId="0" borderId="15" xfId="0" applyNumberFormat="1" applyFont="1" applyFill="1" applyBorder="1" applyAlignment="1">
      <alignment horizontal="right" vertical="top" wrapText="1"/>
    </xf>
    <xf numFmtId="0" fontId="4" fillId="0" borderId="13" xfId="0" applyFont="1" applyBorder="1" applyAlignment="1">
      <alignment horizontal="left" vertical="top" wrapText="1"/>
    </xf>
    <xf numFmtId="0" fontId="0" fillId="0" borderId="3" xfId="0" applyFill="1" applyBorder="1" applyAlignment="1">
      <alignment/>
    </xf>
    <xf numFmtId="0" fontId="4" fillId="0" borderId="6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64" fontId="12" fillId="0" borderId="13" xfId="0" applyNumberFormat="1" applyFont="1" applyFill="1" applyBorder="1" applyAlignment="1">
      <alignment/>
    </xf>
    <xf numFmtId="164" fontId="12" fillId="0" borderId="0" xfId="0" applyNumberFormat="1" applyFont="1" applyFill="1" applyBorder="1" applyAlignment="1">
      <alignment/>
    </xf>
    <xf numFmtId="164" fontId="12" fillId="0" borderId="2" xfId="0" applyNumberFormat="1" applyFont="1" applyFill="1" applyBorder="1" applyAlignment="1">
      <alignment/>
    </xf>
    <xf numFmtId="0" fontId="4" fillId="0" borderId="8" xfId="0" applyFont="1" applyFill="1" applyBorder="1" applyAlignment="1">
      <alignment horizontal="left" vertical="top" wrapText="1"/>
    </xf>
    <xf numFmtId="164" fontId="12" fillId="0" borderId="14" xfId="0" applyNumberFormat="1" applyFont="1" applyFill="1" applyBorder="1" applyAlignment="1">
      <alignment/>
    </xf>
    <xf numFmtId="164" fontId="4" fillId="0" borderId="13" xfId="0" applyNumberFormat="1" applyFont="1" applyBorder="1" applyAlignment="1">
      <alignment horizontal="right" vertical="top" wrapText="1"/>
    </xf>
    <xf numFmtId="164" fontId="4" fillId="0" borderId="3" xfId="0" applyNumberFormat="1" applyFont="1" applyBorder="1" applyAlignment="1">
      <alignment horizontal="right" vertical="top" wrapText="1"/>
    </xf>
    <xf numFmtId="164" fontId="4" fillId="0" borderId="5" xfId="0" applyNumberFormat="1" applyFont="1" applyBorder="1" applyAlignment="1">
      <alignment horizontal="right" vertical="top" wrapText="1"/>
    </xf>
    <xf numFmtId="164" fontId="4" fillId="0" borderId="2" xfId="0" applyNumberFormat="1" applyFont="1" applyBorder="1" applyAlignment="1">
      <alignment horizontal="right" vertical="top" wrapText="1"/>
    </xf>
    <xf numFmtId="164" fontId="4" fillId="0" borderId="2" xfId="0" applyNumberFormat="1" applyFont="1" applyFill="1" applyBorder="1" applyAlignment="1">
      <alignment horizontal="right" vertical="top" wrapText="1"/>
    </xf>
    <xf numFmtId="164" fontId="4" fillId="0" borderId="0" xfId="0" applyNumberFormat="1" applyFont="1" applyBorder="1" applyAlignment="1">
      <alignment horizontal="right" vertical="top" wrapText="1"/>
    </xf>
    <xf numFmtId="0" fontId="4" fillId="0" borderId="9" xfId="0" applyFont="1" applyBorder="1" applyAlignment="1">
      <alignment horizontal="left" vertical="top" wrapText="1"/>
    </xf>
    <xf numFmtId="164" fontId="4" fillId="0" borderId="15" xfId="0" applyNumberFormat="1" applyFont="1" applyBorder="1" applyAlignment="1">
      <alignment horizontal="right" vertical="top" wrapText="1"/>
    </xf>
    <xf numFmtId="164" fontId="4" fillId="0" borderId="14" xfId="0" applyNumberFormat="1" applyFont="1" applyBorder="1" applyAlignment="1">
      <alignment horizontal="right" vertical="top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164" fontId="4" fillId="0" borderId="4" xfId="0" applyNumberFormat="1" applyFont="1" applyFill="1" applyBorder="1" applyAlignment="1">
      <alignment horizontal="right" vertical="top" wrapText="1"/>
    </xf>
    <xf numFmtId="164" fontId="4" fillId="0" borderId="7" xfId="0" applyNumberFormat="1" applyFont="1" applyFill="1" applyBorder="1" applyAlignment="1">
      <alignment horizontal="right" vertical="top" wrapText="1"/>
    </xf>
    <xf numFmtId="164" fontId="16" fillId="0" borderId="6" xfId="0" applyNumberFormat="1" applyFont="1" applyFill="1" applyBorder="1" applyAlignment="1">
      <alignment horizontal="right" vertical="top" wrapText="1"/>
    </xf>
    <xf numFmtId="0" fontId="4" fillId="0" borderId="0" xfId="0" applyFont="1" applyFill="1" applyAlignment="1">
      <alignment horizontal="center" vertical="center"/>
    </xf>
    <xf numFmtId="164" fontId="4" fillId="0" borderId="14" xfId="0" applyNumberFormat="1" applyFont="1" applyFill="1" applyBorder="1" applyAlignment="1">
      <alignment horizontal="right" vertical="top" wrapText="1"/>
    </xf>
    <xf numFmtId="0" fontId="17" fillId="0" borderId="13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164" fontId="4" fillId="0" borderId="9" xfId="0" applyNumberFormat="1" applyFont="1" applyFill="1" applyBorder="1" applyAlignment="1">
      <alignment horizontal="right" vertical="top" wrapText="1"/>
    </xf>
    <xf numFmtId="0" fontId="4" fillId="0" borderId="7" xfId="0" applyFont="1" applyFill="1" applyBorder="1" applyAlignment="1">
      <alignment horizontal="right" vertical="top" wrapText="1"/>
    </xf>
    <xf numFmtId="164" fontId="4" fillId="0" borderId="10" xfId="0" applyNumberFormat="1" applyFont="1" applyFill="1" applyBorder="1" applyAlignment="1">
      <alignment horizontal="right" vertical="top" wrapText="1"/>
    </xf>
    <xf numFmtId="164" fontId="4" fillId="0" borderId="5" xfId="0" applyNumberFormat="1" applyFont="1" applyFill="1" applyBorder="1" applyAlignment="1">
      <alignment horizontal="right" vertical="top" wrapText="1"/>
    </xf>
    <xf numFmtId="164" fontId="4" fillId="0" borderId="11" xfId="0" applyNumberFormat="1" applyFont="1" applyFill="1" applyBorder="1" applyAlignment="1">
      <alignment horizontal="right" vertical="top" wrapText="1"/>
    </xf>
    <xf numFmtId="164" fontId="4" fillId="0" borderId="8" xfId="0" applyNumberFormat="1" applyFont="1" applyFill="1" applyBorder="1" applyAlignment="1">
      <alignment horizontal="right" vertical="top" wrapText="1"/>
    </xf>
    <xf numFmtId="164" fontId="4" fillId="0" borderId="1" xfId="0" applyNumberFormat="1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top" wrapText="1"/>
    </xf>
    <xf numFmtId="43" fontId="4" fillId="0" borderId="0" xfId="20" applyFont="1" applyFill="1" applyAlignment="1">
      <alignment/>
    </xf>
    <xf numFmtId="43" fontId="4" fillId="0" borderId="0" xfId="0" applyNumberFormat="1" applyFont="1" applyFill="1" applyAlignment="1">
      <alignment/>
    </xf>
    <xf numFmtId="0" fontId="4" fillId="0" borderId="0" xfId="0" applyFont="1" applyBorder="1" applyAlignment="1">
      <alignment horizontal="left" wrapText="1"/>
    </xf>
    <xf numFmtId="164" fontId="4" fillId="0" borderId="2" xfId="0" applyNumberFormat="1" applyFont="1" applyFill="1" applyBorder="1" applyAlignment="1">
      <alignment horizontal="right"/>
    </xf>
    <xf numFmtId="0" fontId="4" fillId="0" borderId="6" xfId="0" applyFont="1" applyBorder="1" applyAlignment="1">
      <alignment horizontal="left" wrapText="1"/>
    </xf>
    <xf numFmtId="164" fontId="4" fillId="0" borderId="12" xfId="0" applyNumberFormat="1" applyFont="1" applyFill="1" applyBorder="1" applyAlignment="1">
      <alignment horizontal="right"/>
    </xf>
    <xf numFmtId="0" fontId="4" fillId="0" borderId="9" xfId="0" applyFont="1" applyFill="1" applyBorder="1" applyAlignment="1">
      <alignment horizontal="left" wrapText="1"/>
    </xf>
    <xf numFmtId="164" fontId="4" fillId="0" borderId="8" xfId="0" applyNumberFormat="1" applyFont="1" applyFill="1" applyBorder="1" applyAlignment="1">
      <alignment horizontal="right"/>
    </xf>
    <xf numFmtId="49" fontId="4" fillId="0" borderId="3" xfId="0" applyNumberFormat="1" applyFont="1" applyFill="1" applyBorder="1" applyAlignment="1">
      <alignment/>
    </xf>
    <xf numFmtId="0" fontId="4" fillId="0" borderId="7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top" wrapText="1"/>
    </xf>
    <xf numFmtId="164" fontId="4" fillId="0" borderId="7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right" vertical="top" wrapText="1"/>
    </xf>
    <xf numFmtId="0" fontId="3" fillId="0" borderId="0" xfId="0" applyFont="1" applyFill="1" applyAlignment="1">
      <alignment horizontal="center"/>
    </xf>
    <xf numFmtId="0" fontId="13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9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0" fontId="4" fillId="0" borderId="0" xfId="0" applyFont="1" applyFill="1" applyAlignment="1">
      <alignment horizontal="center"/>
    </xf>
    <xf numFmtId="0" fontId="4" fillId="0" borderId="10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39" fontId="4" fillId="0" borderId="14" xfId="0" applyNumberFormat="1" applyFont="1" applyBorder="1" applyAlignment="1">
      <alignment horizontal="center" vertical="top"/>
    </xf>
    <xf numFmtId="39" fontId="4" fillId="0" borderId="8" xfId="0" applyNumberFormat="1" applyFont="1" applyBorder="1" applyAlignment="1">
      <alignment horizontal="center" vertical="top"/>
    </xf>
    <xf numFmtId="0" fontId="4" fillId="0" borderId="14" xfId="0" applyFont="1" applyBorder="1" applyAlignment="1">
      <alignment horizontal="right" vertical="top"/>
    </xf>
    <xf numFmtId="0" fontId="4" fillId="0" borderId="1" xfId="0" applyFont="1" applyBorder="1" applyAlignment="1">
      <alignment horizontal="right" vertical="top"/>
    </xf>
    <xf numFmtId="0" fontId="4" fillId="0" borderId="8" xfId="0" applyFont="1" applyBorder="1" applyAlignment="1">
      <alignment horizontal="right" vertical="top"/>
    </xf>
    <xf numFmtId="0" fontId="4" fillId="0" borderId="0" xfId="0" applyFont="1" applyAlignment="1">
      <alignment horizontal="center" vertical="top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4" fillId="0" borderId="0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4" fillId="0" borderId="14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top"/>
    </xf>
    <xf numFmtId="0" fontId="4" fillId="0" borderId="15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3" fillId="0" borderId="0" xfId="0" applyFont="1" applyFill="1" applyBorder="1" applyAlignment="1">
      <alignment horizontal="center"/>
    </xf>
    <xf numFmtId="0" fontId="0" fillId="0" borderId="9" xfId="0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164" fontId="4" fillId="0" borderId="14" xfId="0" applyNumberFormat="1" applyFont="1" applyFill="1" applyBorder="1" applyAlignment="1">
      <alignment horizontal="right" vertical="top" wrapText="1"/>
    </xf>
    <xf numFmtId="164" fontId="0" fillId="0" borderId="1" xfId="0" applyNumberForma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center" vertical="top" wrapText="1"/>
    </xf>
    <xf numFmtId="0" fontId="12" fillId="0" borderId="6" xfId="0" applyFont="1" applyFill="1" applyBorder="1" applyAlignment="1">
      <alignment horizontal="center" vertical="top" wrapText="1"/>
    </xf>
    <xf numFmtId="0" fontId="0" fillId="0" borderId="0" xfId="0" applyAlignment="1">
      <alignment horizontal="left" wrapText="1"/>
    </xf>
    <xf numFmtId="0" fontId="0" fillId="0" borderId="2" xfId="0" applyBorder="1" applyAlignment="1">
      <alignment horizontal="left" wrapText="1"/>
    </xf>
    <xf numFmtId="164" fontId="4" fillId="0" borderId="4" xfId="0" applyNumberFormat="1" applyFont="1" applyFill="1" applyBorder="1" applyAlignment="1">
      <alignment horizontal="right" vertical="top" wrapText="1"/>
    </xf>
    <xf numFmtId="0" fontId="4" fillId="0" borderId="3" xfId="0" applyFont="1" applyFill="1" applyBorder="1" applyAlignment="1">
      <alignment horizontal="right" vertical="top" wrapText="1"/>
    </xf>
    <xf numFmtId="164" fontId="4" fillId="0" borderId="5" xfId="0" applyNumberFormat="1" applyFont="1" applyFill="1" applyBorder="1" applyAlignment="1">
      <alignment horizontal="right" vertical="top" wrapText="1"/>
    </xf>
    <xf numFmtId="164" fontId="4" fillId="0" borderId="0" xfId="0" applyNumberFormat="1" applyFont="1" applyFill="1" applyBorder="1" applyAlignment="1">
      <alignment horizontal="right" vertical="top" wrapText="1"/>
    </xf>
    <xf numFmtId="0" fontId="4" fillId="0" borderId="0" xfId="0" applyFont="1" applyBorder="1" applyAlignment="1">
      <alignment horizontal="left" wrapText="1"/>
    </xf>
    <xf numFmtId="164" fontId="4" fillId="0" borderId="7" xfId="0" applyNumberFormat="1" applyFont="1" applyFill="1" applyBorder="1" applyAlignment="1">
      <alignment horizontal="right" vertical="top" wrapText="1"/>
    </xf>
    <xf numFmtId="164" fontId="4" fillId="0" borderId="6" xfId="0" applyNumberFormat="1" applyFont="1" applyFill="1" applyBorder="1" applyAlignment="1">
      <alignment horizontal="right" vertical="top" wrapText="1"/>
    </xf>
    <xf numFmtId="0" fontId="0" fillId="0" borderId="1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4" fillId="0" borderId="1" xfId="0" applyFont="1" applyFill="1" applyBorder="1" applyAlignment="1">
      <alignment horizontal="right" vertical="top" wrapText="1"/>
    </xf>
    <xf numFmtId="0" fontId="3" fillId="0" borderId="1" xfId="0" applyFont="1" applyBorder="1" applyAlignment="1">
      <alignment horizontal="left" vertical="top" wrapText="1"/>
    </xf>
    <xf numFmtId="0" fontId="18" fillId="0" borderId="1" xfId="0" applyFont="1" applyBorder="1" applyAlignment="1">
      <alignment horizontal="left" wrapText="1"/>
    </xf>
    <xf numFmtId="0" fontId="18" fillId="0" borderId="8" xfId="0" applyFont="1" applyBorder="1" applyAlignment="1">
      <alignment horizontal="left" wrapText="1"/>
    </xf>
    <xf numFmtId="2" fontId="16" fillId="0" borderId="14" xfId="0" applyNumberFormat="1" applyFont="1" applyFill="1" applyBorder="1" applyAlignment="1">
      <alignment horizontal="right" vertical="top" wrapText="1"/>
    </xf>
    <xf numFmtId="2" fontId="16" fillId="0" borderId="1" xfId="0" applyNumberFormat="1" applyFont="1" applyFill="1" applyBorder="1" applyAlignment="1">
      <alignment horizontal="right" vertical="top" wrapText="1"/>
    </xf>
    <xf numFmtId="0" fontId="4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164" fontId="4" fillId="0" borderId="14" xfId="0" applyNumberFormat="1" applyFont="1" applyFill="1" applyBorder="1" applyAlignment="1">
      <alignment horizontal="right" vertical="center"/>
    </xf>
    <xf numFmtId="164" fontId="4" fillId="0" borderId="8" xfId="0" applyNumberFormat="1" applyFont="1" applyFill="1" applyBorder="1" applyAlignment="1">
      <alignment horizontal="right" vertical="center"/>
    </xf>
    <xf numFmtId="164" fontId="4" fillId="0" borderId="14" xfId="0" applyNumberFormat="1" applyFont="1" applyFill="1" applyBorder="1" applyAlignment="1">
      <alignment horizontal="right"/>
    </xf>
    <xf numFmtId="164" fontId="4" fillId="0" borderId="1" xfId="0" applyNumberFormat="1" applyFont="1" applyFill="1" applyBorder="1" applyAlignment="1">
      <alignment horizontal="right"/>
    </xf>
    <xf numFmtId="0" fontId="4" fillId="0" borderId="3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/>
    </xf>
    <xf numFmtId="0" fontId="4" fillId="0" borderId="6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right"/>
    </xf>
    <xf numFmtId="0" fontId="8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 wrapText="1"/>
    </xf>
    <xf numFmtId="0" fontId="0" fillId="0" borderId="0" xfId="0" applyAlignment="1">
      <alignment/>
    </xf>
    <xf numFmtId="0" fontId="8" fillId="0" borderId="0" xfId="0" applyFont="1" applyFill="1" applyAlignment="1">
      <alignment horizontal="left"/>
    </xf>
    <xf numFmtId="164" fontId="4" fillId="0" borderId="14" xfId="0" applyNumberFormat="1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164" fontId="4" fillId="0" borderId="8" xfId="0" applyNumberFormat="1" applyFont="1" applyFill="1" applyBorder="1" applyAlignment="1">
      <alignment horizontal="center"/>
    </xf>
    <xf numFmtId="164" fontId="9" fillId="0" borderId="4" xfId="0" applyNumberFormat="1" applyFont="1" applyFill="1" applyBorder="1" applyAlignment="1">
      <alignment horizontal="right" vertical="center"/>
    </xf>
    <xf numFmtId="164" fontId="9" fillId="0" borderId="7" xfId="0" applyNumberFormat="1" applyFont="1" applyFill="1" applyBorder="1" applyAlignment="1">
      <alignment horizontal="right" vertical="center"/>
    </xf>
    <xf numFmtId="164" fontId="4" fillId="0" borderId="11" xfId="0" applyNumberFormat="1" applyFont="1" applyFill="1" applyBorder="1" applyAlignment="1">
      <alignment horizontal="right" vertical="center"/>
    </xf>
    <xf numFmtId="164" fontId="4" fillId="0" borderId="12" xfId="0" applyNumberFormat="1" applyFont="1" applyFill="1" applyBorder="1" applyAlignment="1">
      <alignment horizontal="right" vertical="center"/>
    </xf>
    <xf numFmtId="164" fontId="0" fillId="0" borderId="12" xfId="0" applyNumberFormat="1" applyBorder="1" applyAlignment="1">
      <alignment horizontal="right" vertical="center"/>
    </xf>
    <xf numFmtId="164" fontId="4" fillId="0" borderId="5" xfId="0" applyNumberFormat="1" applyFont="1" applyFill="1" applyBorder="1" applyAlignment="1">
      <alignment horizontal="right" vertical="center"/>
    </xf>
    <xf numFmtId="164" fontId="4" fillId="0" borderId="7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justify" vertical="justify" wrapText="1"/>
    </xf>
    <xf numFmtId="0" fontId="0" fillId="0" borderId="0" xfId="0" applyAlignment="1">
      <alignment horizontal="justify" vertical="justify" wrapText="1"/>
    </xf>
    <xf numFmtId="0" fontId="4" fillId="0" borderId="6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3" fillId="0" borderId="6" xfId="0" applyFont="1" applyFill="1" applyBorder="1" applyAlignment="1">
      <alignment/>
    </xf>
    <xf numFmtId="0" fontId="4" fillId="0" borderId="9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3" xfId="0" applyFont="1" applyFill="1" applyBorder="1" applyAlignment="1">
      <alignment wrapText="1"/>
    </xf>
    <xf numFmtId="0" fontId="4" fillId="0" borderId="13" xfId="0" applyFont="1" applyFill="1" applyBorder="1" applyAlignment="1">
      <alignment wrapText="1"/>
    </xf>
    <xf numFmtId="0" fontId="4" fillId="0" borderId="1" xfId="0" applyFont="1" applyFill="1" applyBorder="1" applyAlignment="1">
      <alignment/>
    </xf>
    <xf numFmtId="37" fontId="4" fillId="0" borderId="7" xfId="0" applyNumberFormat="1" applyFont="1" applyFill="1" applyBorder="1" applyAlignment="1">
      <alignment horizontal="center"/>
    </xf>
    <xf numFmtId="37" fontId="4" fillId="0" borderId="6" xfId="0" applyNumberFormat="1" applyFont="1" applyFill="1" applyBorder="1" applyAlignment="1">
      <alignment horizontal="center"/>
    </xf>
    <xf numFmtId="164" fontId="4" fillId="0" borderId="4" xfId="0" applyNumberFormat="1" applyFont="1" applyFill="1" applyBorder="1" applyAlignment="1">
      <alignment horizontal="center"/>
    </xf>
    <xf numFmtId="164" fontId="4" fillId="0" borderId="3" xfId="0" applyNumberFormat="1" applyFont="1" applyFill="1" applyBorder="1" applyAlignment="1">
      <alignment horizontal="center"/>
    </xf>
    <xf numFmtId="164" fontId="4" fillId="0" borderId="7" xfId="0" applyNumberFormat="1" applyFont="1" applyFill="1" applyBorder="1" applyAlignment="1">
      <alignment horizontal="center"/>
    </xf>
    <xf numFmtId="164" fontId="4" fillId="0" borderId="6" xfId="0" applyNumberFormat="1" applyFont="1" applyFill="1" applyBorder="1" applyAlignment="1">
      <alignment horizontal="center"/>
    </xf>
    <xf numFmtId="164" fontId="4" fillId="0" borderId="5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0" fillId="0" borderId="3" xfId="0" applyFill="1" applyBorder="1" applyAlignment="1">
      <alignment/>
    </xf>
    <xf numFmtId="164" fontId="4" fillId="0" borderId="2" xfId="0" applyNumberFormat="1" applyFont="1" applyFill="1" applyBorder="1" applyAlignment="1">
      <alignment horizontal="center"/>
    </xf>
    <xf numFmtId="164" fontId="7" fillId="0" borderId="5" xfId="0" applyNumberFormat="1" applyFont="1" applyFill="1" applyBorder="1" applyAlignment="1">
      <alignment horizontal="center"/>
    </xf>
    <xf numFmtId="164" fontId="7" fillId="0" borderId="2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164" fontId="4" fillId="0" borderId="9" xfId="0" applyNumberFormat="1" applyFont="1" applyFill="1" applyBorder="1" applyAlignment="1">
      <alignment horizontal="center"/>
    </xf>
    <xf numFmtId="164" fontId="4" fillId="0" borderId="13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A1">
      <selection activeCell="A6" sqref="A6"/>
    </sheetView>
  </sheetViews>
  <sheetFormatPr defaultColWidth="9.140625" defaultRowHeight="12.75"/>
  <cols>
    <col min="1" max="1" width="2.8515625" style="80" customWidth="1"/>
    <col min="2" max="4" width="9.140625" style="80" customWidth="1"/>
    <col min="5" max="5" width="26.421875" style="80" customWidth="1"/>
    <col min="6" max="6" width="15.8515625" style="80" customWidth="1"/>
    <col min="7" max="7" width="14.8515625" style="80" bestFit="1" customWidth="1"/>
    <col min="8" max="8" width="17.57421875" style="80" customWidth="1"/>
    <col min="9" max="16384" width="9.140625" style="80" customWidth="1"/>
  </cols>
  <sheetData>
    <row r="1" spans="1:8" ht="11.25">
      <c r="A1" s="194" t="s">
        <v>25</v>
      </c>
      <c r="B1" s="194"/>
      <c r="C1" s="194"/>
      <c r="D1" s="194"/>
      <c r="E1" s="194"/>
      <c r="F1" s="194"/>
      <c r="G1" s="194"/>
      <c r="H1" s="194"/>
    </row>
    <row r="2" spans="1:8" ht="11.25">
      <c r="A2" s="194" t="s">
        <v>119</v>
      </c>
      <c r="B2" s="194"/>
      <c r="C2" s="194"/>
      <c r="D2" s="194"/>
      <c r="E2" s="194"/>
      <c r="F2" s="194"/>
      <c r="G2" s="194"/>
      <c r="H2" s="194"/>
    </row>
    <row r="3" spans="1:8" ht="11.25">
      <c r="A3" s="180" t="s">
        <v>144</v>
      </c>
      <c r="B3" s="180"/>
      <c r="C3" s="180"/>
      <c r="D3" s="180"/>
      <c r="E3" s="180"/>
      <c r="F3" s="180"/>
      <c r="G3" s="180"/>
      <c r="H3" s="180"/>
    </row>
    <row r="4" spans="1:8" ht="11.25">
      <c r="A4" s="194" t="s">
        <v>121</v>
      </c>
      <c r="B4" s="194"/>
      <c r="C4" s="194"/>
      <c r="D4" s="194"/>
      <c r="E4" s="194"/>
      <c r="F4" s="194"/>
      <c r="G4" s="194"/>
      <c r="H4" s="194"/>
    </row>
    <row r="5" spans="1:8" ht="11.25">
      <c r="A5" s="194" t="s">
        <v>26</v>
      </c>
      <c r="B5" s="194"/>
      <c r="C5" s="194"/>
      <c r="D5" s="194"/>
      <c r="E5" s="194"/>
      <c r="F5" s="194"/>
      <c r="G5" s="194"/>
      <c r="H5" s="194"/>
    </row>
    <row r="7" spans="1:8" ht="11.25">
      <c r="A7" s="80" t="s">
        <v>145</v>
      </c>
      <c r="H7" s="102" t="s">
        <v>146</v>
      </c>
    </row>
    <row r="8" spans="1:8" ht="11.25">
      <c r="A8" s="195" t="s">
        <v>147</v>
      </c>
      <c r="B8" s="195"/>
      <c r="C8" s="195"/>
      <c r="D8" s="195"/>
      <c r="E8" s="195"/>
      <c r="F8" s="197" t="s">
        <v>148</v>
      </c>
      <c r="G8" s="183"/>
      <c r="H8" s="183"/>
    </row>
    <row r="9" spans="1:8" ht="11.25">
      <c r="A9" s="195"/>
      <c r="B9" s="195"/>
      <c r="C9" s="195"/>
      <c r="D9" s="195"/>
      <c r="E9" s="196"/>
      <c r="F9" s="99" t="s">
        <v>149</v>
      </c>
      <c r="G9" s="100" t="s">
        <v>150</v>
      </c>
      <c r="H9" s="101" t="s">
        <v>151</v>
      </c>
    </row>
    <row r="10" spans="1:8" ht="11.25">
      <c r="A10" s="195"/>
      <c r="B10" s="195"/>
      <c r="C10" s="195"/>
      <c r="D10" s="195"/>
      <c r="E10" s="196"/>
      <c r="F10" s="83" t="s">
        <v>130</v>
      </c>
      <c r="G10" s="84" t="s">
        <v>131</v>
      </c>
      <c r="H10" s="85" t="s">
        <v>133</v>
      </c>
    </row>
    <row r="11" spans="1:8" ht="11.25">
      <c r="A11" s="81" t="s">
        <v>152</v>
      </c>
      <c r="B11" s="86"/>
      <c r="C11" s="86"/>
      <c r="D11" s="86"/>
      <c r="E11" s="82"/>
      <c r="F11" s="103">
        <v>636702.32</v>
      </c>
      <c r="G11" s="104">
        <v>636702.32</v>
      </c>
      <c r="H11" s="103">
        <v>557046.73</v>
      </c>
    </row>
    <row r="12" spans="1:8" ht="11.25">
      <c r="A12" s="87" t="s">
        <v>153</v>
      </c>
      <c r="B12" s="88"/>
      <c r="C12" s="88"/>
      <c r="D12" s="88"/>
      <c r="E12" s="89"/>
      <c r="F12" s="91">
        <f>F13+F14-F15</f>
        <v>7446952.63</v>
      </c>
      <c r="G12" s="91">
        <f>G13+G14-G15</f>
        <v>7446952.63</v>
      </c>
      <c r="H12" s="91">
        <f>H13+H14-H15</f>
        <v>9431684.719999999</v>
      </c>
    </row>
    <row r="13" spans="1:8" ht="11.25">
      <c r="A13" s="87"/>
      <c r="B13" s="88" t="s">
        <v>154</v>
      </c>
      <c r="C13" s="88"/>
      <c r="D13" s="88"/>
      <c r="E13" s="89"/>
      <c r="F13" s="91">
        <v>6843885.12</v>
      </c>
      <c r="G13" s="104">
        <v>6843885.12</v>
      </c>
      <c r="H13" s="91">
        <v>8490341.79</v>
      </c>
    </row>
    <row r="14" spans="1:8" ht="11.25">
      <c r="A14" s="87"/>
      <c r="B14" s="88" t="s">
        <v>155</v>
      </c>
      <c r="C14" s="88"/>
      <c r="D14" s="88"/>
      <c r="E14" s="89"/>
      <c r="F14" s="91">
        <v>1418409.42</v>
      </c>
      <c r="G14" s="104">
        <v>1418409.42</v>
      </c>
      <c r="H14" s="91">
        <v>1087446.24</v>
      </c>
    </row>
    <row r="15" spans="1:8" ht="11.25">
      <c r="A15" s="87"/>
      <c r="B15" s="88" t="s">
        <v>156</v>
      </c>
      <c r="C15" s="88"/>
      <c r="D15" s="88"/>
      <c r="E15" s="89"/>
      <c r="F15" s="91">
        <v>815341.91</v>
      </c>
      <c r="G15" s="104">
        <v>815341.91</v>
      </c>
      <c r="H15" s="91">
        <v>146103.31</v>
      </c>
    </row>
    <row r="16" spans="1:8" ht="11.25">
      <c r="A16" s="87" t="s">
        <v>157</v>
      </c>
      <c r="B16" s="88"/>
      <c r="C16" s="88"/>
      <c r="D16" s="88"/>
      <c r="E16" s="89"/>
      <c r="F16" s="91">
        <f>F11-F12</f>
        <v>-6810250.31</v>
      </c>
      <c r="G16" s="91">
        <f>G11-G12</f>
        <v>-6810250.31</v>
      </c>
      <c r="H16" s="91">
        <f>H11-H12</f>
        <v>-8874637.989999998</v>
      </c>
    </row>
    <row r="17" spans="1:8" ht="11.25">
      <c r="A17" s="87" t="s">
        <v>158</v>
      </c>
      <c r="B17" s="88"/>
      <c r="C17" s="88"/>
      <c r="D17" s="88"/>
      <c r="E17" s="89"/>
      <c r="F17" s="90"/>
      <c r="H17" s="90"/>
    </row>
    <row r="18" spans="1:8" ht="11.25">
      <c r="A18" s="87" t="s">
        <v>159</v>
      </c>
      <c r="B18" s="88"/>
      <c r="C18" s="88"/>
      <c r="D18" s="88"/>
      <c r="E18" s="89"/>
      <c r="F18" s="90"/>
      <c r="H18" s="92"/>
    </row>
    <row r="19" spans="1:8" ht="11.25">
      <c r="A19" s="93" t="s">
        <v>160</v>
      </c>
      <c r="B19" s="94"/>
      <c r="C19" s="94"/>
      <c r="D19" s="94"/>
      <c r="E19" s="95"/>
      <c r="F19" s="96">
        <f>F16</f>
        <v>-6810250.31</v>
      </c>
      <c r="G19" s="96">
        <f>G16</f>
        <v>-6810250.31</v>
      </c>
      <c r="H19" s="96">
        <f>H16</f>
        <v>-8874637.989999998</v>
      </c>
    </row>
    <row r="20" spans="1:8" ht="11.25">
      <c r="A20" s="184" t="s">
        <v>147</v>
      </c>
      <c r="B20" s="185"/>
      <c r="C20" s="185"/>
      <c r="D20" s="185"/>
      <c r="E20" s="186"/>
      <c r="F20" s="202" t="s">
        <v>161</v>
      </c>
      <c r="G20" s="203"/>
      <c r="H20" s="204"/>
    </row>
    <row r="21" spans="1:8" ht="11.25">
      <c r="A21" s="187"/>
      <c r="B21" s="188"/>
      <c r="C21" s="188"/>
      <c r="D21" s="188"/>
      <c r="E21" s="173"/>
      <c r="F21" s="100" t="s">
        <v>151</v>
      </c>
      <c r="G21" s="177" t="s">
        <v>162</v>
      </c>
      <c r="H21" s="197"/>
    </row>
    <row r="22" spans="1:8" ht="11.25">
      <c r="A22" s="174"/>
      <c r="B22" s="175"/>
      <c r="C22" s="175"/>
      <c r="D22" s="175"/>
      <c r="E22" s="176"/>
      <c r="F22" s="84" t="s">
        <v>163</v>
      </c>
      <c r="G22" s="178" t="s">
        <v>164</v>
      </c>
      <c r="H22" s="179"/>
    </row>
    <row r="23" spans="1:8" ht="11.25">
      <c r="A23" s="202" t="s">
        <v>165</v>
      </c>
      <c r="B23" s="203"/>
      <c r="C23" s="203"/>
      <c r="D23" s="203"/>
      <c r="E23" s="204"/>
      <c r="F23" s="96">
        <f>H19-G19</f>
        <v>-2064387.6799999988</v>
      </c>
      <c r="G23" s="189">
        <f>H19-F19</f>
        <v>-2064387.6799999988</v>
      </c>
      <c r="H23" s="190"/>
    </row>
    <row r="24" spans="1:8" ht="11.25">
      <c r="A24" s="202" t="s">
        <v>166</v>
      </c>
      <c r="B24" s="203"/>
      <c r="C24" s="203"/>
      <c r="D24" s="203"/>
      <c r="E24" s="204"/>
      <c r="F24" s="191" t="s">
        <v>167</v>
      </c>
      <c r="G24" s="192"/>
      <c r="H24" s="193"/>
    </row>
    <row r="25" spans="1:8" ht="11.25">
      <c r="A25" s="93" t="s">
        <v>168</v>
      </c>
      <c r="B25" s="94"/>
      <c r="C25" s="94"/>
      <c r="D25" s="94"/>
      <c r="E25" s="94"/>
      <c r="F25" s="94"/>
      <c r="G25" s="95"/>
      <c r="H25" s="96">
        <v>-1417490</v>
      </c>
    </row>
    <row r="26" spans="1:8" ht="11.25">
      <c r="A26" s="202" t="s">
        <v>169</v>
      </c>
      <c r="B26" s="203"/>
      <c r="C26" s="203"/>
      <c r="D26" s="203"/>
      <c r="E26" s="203"/>
      <c r="F26" s="203"/>
      <c r="G26" s="203"/>
      <c r="H26" s="204"/>
    </row>
    <row r="27" spans="1:8" ht="11.25">
      <c r="A27" s="205" t="s">
        <v>147</v>
      </c>
      <c r="B27" s="205"/>
      <c r="C27" s="205"/>
      <c r="D27" s="205"/>
      <c r="E27" s="205"/>
      <c r="F27" s="206" t="s">
        <v>148</v>
      </c>
      <c r="G27" s="206"/>
      <c r="H27" s="206"/>
    </row>
    <row r="28" spans="1:8" ht="11.25">
      <c r="A28" s="205"/>
      <c r="B28" s="205"/>
      <c r="C28" s="205"/>
      <c r="D28" s="205"/>
      <c r="E28" s="205"/>
      <c r="F28" s="105" t="s">
        <v>149</v>
      </c>
      <c r="G28" s="105" t="s">
        <v>150</v>
      </c>
      <c r="H28" s="105" t="s">
        <v>151</v>
      </c>
    </row>
    <row r="29" spans="1:8" ht="11.25">
      <c r="A29" s="81" t="s">
        <v>170</v>
      </c>
      <c r="B29" s="86"/>
      <c r="C29" s="86"/>
      <c r="D29" s="86"/>
      <c r="E29" s="82"/>
      <c r="F29" s="99"/>
      <c r="G29" s="100"/>
      <c r="H29" s="101"/>
    </row>
    <row r="30" spans="1:8" ht="11.25">
      <c r="A30" s="87" t="s">
        <v>171</v>
      </c>
      <c r="B30" s="88"/>
      <c r="C30" s="88"/>
      <c r="D30" s="88"/>
      <c r="E30" s="89"/>
      <c r="F30" s="87"/>
      <c r="G30" s="90"/>
      <c r="H30" s="89"/>
    </row>
    <row r="31" spans="1:8" ht="11.25">
      <c r="A31" s="87"/>
      <c r="B31" s="88" t="s">
        <v>154</v>
      </c>
      <c r="C31" s="88"/>
      <c r="D31" s="88"/>
      <c r="E31" s="89"/>
      <c r="F31" s="87"/>
      <c r="G31" s="90"/>
      <c r="H31" s="89"/>
    </row>
    <row r="32" spans="1:8" ht="11.25">
      <c r="A32" s="87"/>
      <c r="B32" s="88" t="s">
        <v>172</v>
      </c>
      <c r="C32" s="88"/>
      <c r="D32" s="88"/>
      <c r="E32" s="89"/>
      <c r="F32" s="87"/>
      <c r="G32" s="90"/>
      <c r="H32" s="89"/>
    </row>
    <row r="33" spans="1:8" ht="11.25">
      <c r="A33" s="87"/>
      <c r="B33" s="88" t="s">
        <v>155</v>
      </c>
      <c r="C33" s="88"/>
      <c r="D33" s="88"/>
      <c r="E33" s="89"/>
      <c r="F33" s="87"/>
      <c r="G33" s="90"/>
      <c r="H33" s="89"/>
    </row>
    <row r="34" spans="1:8" ht="11.25">
      <c r="A34" s="87"/>
      <c r="B34" s="88" t="s">
        <v>156</v>
      </c>
      <c r="C34" s="88"/>
      <c r="D34" s="88"/>
      <c r="E34" s="89"/>
      <c r="F34" s="87"/>
      <c r="G34" s="90"/>
      <c r="H34" s="89"/>
    </row>
    <row r="35" spans="1:8" ht="11.25">
      <c r="A35" s="87" t="s">
        <v>173</v>
      </c>
      <c r="B35" s="88"/>
      <c r="C35" s="88"/>
      <c r="D35" s="88"/>
      <c r="E35" s="89"/>
      <c r="F35" s="87"/>
      <c r="G35" s="90"/>
      <c r="H35" s="89"/>
    </row>
    <row r="36" spans="1:8" ht="11.25">
      <c r="A36" s="87" t="s">
        <v>174</v>
      </c>
      <c r="B36" s="88"/>
      <c r="C36" s="88"/>
      <c r="D36" s="88"/>
      <c r="E36" s="89"/>
      <c r="F36" s="87"/>
      <c r="G36" s="90"/>
      <c r="H36" s="89"/>
    </row>
    <row r="37" spans="1:8" ht="11.25">
      <c r="A37" s="93" t="s">
        <v>175</v>
      </c>
      <c r="B37" s="94"/>
      <c r="C37" s="94"/>
      <c r="D37" s="94"/>
      <c r="E37" s="94"/>
      <c r="F37" s="97">
        <v>0</v>
      </c>
      <c r="G37" s="98">
        <v>0</v>
      </c>
      <c r="H37" s="97">
        <v>0</v>
      </c>
    </row>
    <row r="42" spans="1:8" ht="12.75" customHeight="1">
      <c r="A42" s="200" t="s">
        <v>176</v>
      </c>
      <c r="B42" s="200"/>
      <c r="C42" s="200"/>
      <c r="D42" s="207" t="s">
        <v>177</v>
      </c>
      <c r="E42" s="207"/>
      <c r="F42" s="207"/>
      <c r="G42" s="208" t="s">
        <v>137</v>
      </c>
      <c r="H42" s="208"/>
    </row>
    <row r="43" spans="1:8" ht="12.75" customHeight="1">
      <c r="A43" s="201" t="s">
        <v>178</v>
      </c>
      <c r="B43" s="201"/>
      <c r="C43" s="201"/>
      <c r="D43" s="198" t="s">
        <v>179</v>
      </c>
      <c r="E43" s="198"/>
      <c r="F43" s="198"/>
      <c r="G43" s="199" t="s">
        <v>138</v>
      </c>
      <c r="H43" s="199"/>
    </row>
  </sheetData>
  <mergeCells count="24">
    <mergeCell ref="A1:H1"/>
    <mergeCell ref="A2:H2"/>
    <mergeCell ref="A3:H3"/>
    <mergeCell ref="A4:H4"/>
    <mergeCell ref="A5:H5"/>
    <mergeCell ref="A8:E10"/>
    <mergeCell ref="F8:H8"/>
    <mergeCell ref="A20:E22"/>
    <mergeCell ref="F20:H20"/>
    <mergeCell ref="G21:H21"/>
    <mergeCell ref="G22:H22"/>
    <mergeCell ref="A23:E23"/>
    <mergeCell ref="G23:H23"/>
    <mergeCell ref="A24:E24"/>
    <mergeCell ref="F24:H24"/>
    <mergeCell ref="A26:H26"/>
    <mergeCell ref="A27:E28"/>
    <mergeCell ref="F27:H27"/>
    <mergeCell ref="D42:F42"/>
    <mergeCell ref="G42:H42"/>
    <mergeCell ref="D43:F43"/>
    <mergeCell ref="G43:H43"/>
    <mergeCell ref="A42:C42"/>
    <mergeCell ref="A43:C43"/>
  </mergeCells>
  <printOptions/>
  <pageMargins left="0.17" right="0.17" top="1" bottom="1" header="0.492125985" footer="0.492125985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7"/>
  <sheetViews>
    <sheetView tabSelected="1" workbookViewId="0" topLeftCell="A1">
      <selection activeCell="B165" sqref="B165"/>
    </sheetView>
  </sheetViews>
  <sheetFormatPr defaultColWidth="9.140625" defaultRowHeight="11.25" customHeight="1"/>
  <cols>
    <col min="1" max="1" width="75.28125" style="64" customWidth="1"/>
    <col min="2" max="6" width="11.421875" style="64" customWidth="1"/>
    <col min="7" max="7" width="12.00390625" style="64" bestFit="1" customWidth="1"/>
    <col min="8" max="8" width="10.8515625" style="64" bestFit="1" customWidth="1"/>
    <col min="9" max="10" width="10.00390625" style="64" bestFit="1" customWidth="1"/>
    <col min="11" max="16384" width="9.140625" style="64" customWidth="1"/>
  </cols>
  <sheetData>
    <row r="1" spans="1:6" s="7" customFormat="1" ht="11.25" customHeight="1">
      <c r="A1" s="181" t="s">
        <v>180</v>
      </c>
      <c r="B1" s="181"/>
      <c r="C1" s="181"/>
      <c r="D1" s="181"/>
      <c r="E1" s="181"/>
      <c r="F1" s="181"/>
    </row>
    <row r="2" spans="1:6" s="7" customFormat="1" ht="11.25" customHeight="1">
      <c r="A2" s="182" t="s">
        <v>119</v>
      </c>
      <c r="B2" s="182"/>
      <c r="C2" s="182"/>
      <c r="D2" s="182"/>
      <c r="E2" s="182"/>
      <c r="F2" s="182"/>
    </row>
    <row r="3" spans="1:6" s="7" customFormat="1" ht="11.25" customHeight="1">
      <c r="A3" s="170" t="s">
        <v>181</v>
      </c>
      <c r="B3" s="170"/>
      <c r="C3" s="170"/>
      <c r="D3" s="170"/>
      <c r="E3" s="170"/>
      <c r="F3" s="170"/>
    </row>
    <row r="4" spans="1:6" s="7" customFormat="1" ht="11.25" customHeight="1">
      <c r="A4" s="182" t="s">
        <v>121</v>
      </c>
      <c r="B4" s="182"/>
      <c r="C4" s="182"/>
      <c r="D4" s="182"/>
      <c r="E4" s="182"/>
      <c r="F4" s="182"/>
    </row>
    <row r="5" spans="1:6" s="7" customFormat="1" ht="11.25" customHeight="1">
      <c r="A5" s="182" t="s">
        <v>182</v>
      </c>
      <c r="B5" s="182"/>
      <c r="C5" s="182"/>
      <c r="D5" s="182"/>
      <c r="E5" s="182"/>
      <c r="F5" s="182"/>
    </row>
    <row r="6" spans="1:6" s="7" customFormat="1" ht="11.25" customHeight="1">
      <c r="A6" s="7" t="s">
        <v>183</v>
      </c>
      <c r="B6" s="2"/>
      <c r="C6" s="2"/>
      <c r="D6" s="2"/>
      <c r="E6" s="2"/>
      <c r="F6" s="1">
        <v>1</v>
      </c>
    </row>
    <row r="7" spans="1:6" s="7" customFormat="1" ht="34.5" customHeight="1">
      <c r="A7" s="171" t="s">
        <v>184</v>
      </c>
      <c r="B7" s="172"/>
      <c r="C7" s="172"/>
      <c r="D7" s="172"/>
      <c r="E7" s="172"/>
      <c r="F7" s="172"/>
    </row>
    <row r="8" spans="1:6" s="7" customFormat="1" ht="11.25" customHeight="1">
      <c r="A8" s="75"/>
      <c r="B8" s="20" t="s">
        <v>122</v>
      </c>
      <c r="C8" s="20" t="s">
        <v>122</v>
      </c>
      <c r="D8" s="155" t="s">
        <v>123</v>
      </c>
      <c r="E8" s="155"/>
      <c r="F8" s="155"/>
    </row>
    <row r="9" spans="1:6" s="7" customFormat="1" ht="11.25" customHeight="1">
      <c r="A9" s="26" t="s">
        <v>185</v>
      </c>
      <c r="B9" s="21" t="s">
        <v>125</v>
      </c>
      <c r="C9" s="21" t="s">
        <v>126</v>
      </c>
      <c r="D9" s="20" t="s">
        <v>127</v>
      </c>
      <c r="E9" s="20" t="s">
        <v>129</v>
      </c>
      <c r="F9" s="30" t="s">
        <v>128</v>
      </c>
    </row>
    <row r="10" spans="1:6" s="7" customFormat="1" ht="11.25" customHeight="1">
      <c r="A10" s="17"/>
      <c r="B10" s="22"/>
      <c r="C10" s="23" t="s">
        <v>130</v>
      </c>
      <c r="D10" s="22"/>
      <c r="E10" s="23" t="s">
        <v>131</v>
      </c>
      <c r="F10" s="19" t="s">
        <v>186</v>
      </c>
    </row>
    <row r="11" spans="1:6" s="7" customFormat="1" ht="11.25" customHeight="1">
      <c r="A11" s="109" t="s">
        <v>187</v>
      </c>
      <c r="B11" s="51">
        <f>B12+B18+B24+B30+B36</f>
        <v>3106200</v>
      </c>
      <c r="C11" s="51">
        <f>C12+C18+C24+C30+C36</f>
        <v>3106200</v>
      </c>
      <c r="D11" s="51">
        <f>D12+D18+D24+D30+D36</f>
        <v>462629.05</v>
      </c>
      <c r="E11" s="51">
        <f>E12+E18+E24+E30+E36</f>
        <v>1045161.16</v>
      </c>
      <c r="F11" s="59">
        <f>E11/C11*100</f>
        <v>33.647580967098065</v>
      </c>
    </row>
    <row r="12" spans="1:6" s="7" customFormat="1" ht="11.25" customHeight="1">
      <c r="A12" s="110" t="s">
        <v>188</v>
      </c>
      <c r="B12" s="51">
        <f>SUM(B13:B16)-B17</f>
        <v>812000</v>
      </c>
      <c r="C12" s="51">
        <f>SUM(C13:C16)-C17</f>
        <v>812000</v>
      </c>
      <c r="D12" s="51">
        <f>SUM(D13:D16)-D17</f>
        <v>87003.73</v>
      </c>
      <c r="E12" s="51">
        <f>SUM(E13:E16)-E17</f>
        <v>131780.67</v>
      </c>
      <c r="F12" s="59">
        <f aca="true" t="shared" si="0" ref="F12:F52">E12/C12*100</f>
        <v>16.22914655172414</v>
      </c>
    </row>
    <row r="13" spans="1:6" s="7" customFormat="1" ht="11.25" customHeight="1">
      <c r="A13" s="110" t="s">
        <v>189</v>
      </c>
      <c r="B13" s="51">
        <v>575000</v>
      </c>
      <c r="C13" s="51">
        <v>575000</v>
      </c>
      <c r="D13" s="51">
        <v>65713.79</v>
      </c>
      <c r="E13" s="51">
        <v>67041.38</v>
      </c>
      <c r="F13" s="59">
        <f t="shared" si="0"/>
        <v>11.659370434782609</v>
      </c>
    </row>
    <row r="14" spans="1:6" s="7" customFormat="1" ht="11.25" customHeight="1">
      <c r="A14" s="110" t="s">
        <v>190</v>
      </c>
      <c r="B14" s="51">
        <v>2000</v>
      </c>
      <c r="C14" s="51">
        <v>2000</v>
      </c>
      <c r="D14" s="51">
        <v>0</v>
      </c>
      <c r="E14" s="51">
        <v>87.96</v>
      </c>
      <c r="F14" s="59">
        <f t="shared" si="0"/>
        <v>4.398</v>
      </c>
    </row>
    <row r="15" spans="1:6" s="7" customFormat="1" ht="11.25" customHeight="1">
      <c r="A15" s="110" t="s">
        <v>191</v>
      </c>
      <c r="B15" s="51">
        <v>200000</v>
      </c>
      <c r="C15" s="51">
        <v>200000</v>
      </c>
      <c r="D15" s="51">
        <v>17077.74</v>
      </c>
      <c r="E15" s="51">
        <v>53406.94</v>
      </c>
      <c r="F15" s="59">
        <f t="shared" si="0"/>
        <v>26.703470000000003</v>
      </c>
    </row>
    <row r="16" spans="1:6" s="7" customFormat="1" ht="11.25" customHeight="1">
      <c r="A16" s="110" t="s">
        <v>192</v>
      </c>
      <c r="B16" s="51">
        <v>35000</v>
      </c>
      <c r="C16" s="51">
        <v>35000</v>
      </c>
      <c r="D16" s="51">
        <v>4212.2</v>
      </c>
      <c r="E16" s="51">
        <v>11244.39</v>
      </c>
      <c r="F16" s="59">
        <f t="shared" si="0"/>
        <v>32.12682857142857</v>
      </c>
    </row>
    <row r="17" spans="1:6" s="7" customFormat="1" ht="11.25" customHeight="1">
      <c r="A17" s="110" t="s">
        <v>193</v>
      </c>
      <c r="B17" s="51">
        <v>0</v>
      </c>
      <c r="C17" s="51">
        <v>0</v>
      </c>
      <c r="D17" s="51">
        <v>0</v>
      </c>
      <c r="E17" s="51">
        <v>0</v>
      </c>
      <c r="F17" s="59">
        <v>0</v>
      </c>
    </row>
    <row r="18" spans="1:6" s="7" customFormat="1" ht="11.25" customHeight="1">
      <c r="A18" s="110" t="s">
        <v>194</v>
      </c>
      <c r="B18" s="51">
        <f>SUM(B19:B22)-B23</f>
        <v>482500</v>
      </c>
      <c r="C18" s="51">
        <f>SUM(C19:C22)-C23</f>
        <v>482500</v>
      </c>
      <c r="D18" s="51">
        <f>SUM(D19:D22)-D23</f>
        <v>81889.74</v>
      </c>
      <c r="E18" s="51">
        <f>SUM(E19:E22)-E23</f>
        <v>187637.54</v>
      </c>
      <c r="F18" s="59">
        <f t="shared" si="0"/>
        <v>38.88860932642487</v>
      </c>
    </row>
    <row r="19" spans="1:6" s="7" customFormat="1" ht="11.25" customHeight="1">
      <c r="A19" s="110" t="s">
        <v>195</v>
      </c>
      <c r="B19" s="51">
        <v>480000</v>
      </c>
      <c r="C19" s="51">
        <v>480000</v>
      </c>
      <c r="D19" s="51">
        <v>81889.74</v>
      </c>
      <c r="E19" s="51">
        <v>187637.54</v>
      </c>
      <c r="F19" s="59">
        <f t="shared" si="0"/>
        <v>39.09115416666667</v>
      </c>
    </row>
    <row r="20" spans="1:6" s="7" customFormat="1" ht="11.25" customHeight="1">
      <c r="A20" s="110" t="s">
        <v>196</v>
      </c>
      <c r="B20" s="51">
        <v>500</v>
      </c>
      <c r="C20" s="51">
        <v>500</v>
      </c>
      <c r="D20" s="51">
        <v>0</v>
      </c>
      <c r="E20" s="51">
        <v>0</v>
      </c>
      <c r="F20" s="59">
        <f t="shared" si="0"/>
        <v>0</v>
      </c>
    </row>
    <row r="21" spans="1:6" s="7" customFormat="1" ht="11.25" customHeight="1">
      <c r="A21" s="110" t="s">
        <v>197</v>
      </c>
      <c r="B21" s="51">
        <v>1000</v>
      </c>
      <c r="C21" s="51">
        <v>1000</v>
      </c>
      <c r="D21" s="51">
        <v>0</v>
      </c>
      <c r="E21" s="51">
        <v>0</v>
      </c>
      <c r="F21" s="59">
        <f t="shared" si="0"/>
        <v>0</v>
      </c>
    </row>
    <row r="22" spans="1:6" s="7" customFormat="1" ht="11.25" customHeight="1">
      <c r="A22" s="110" t="s">
        <v>198</v>
      </c>
      <c r="B22" s="51">
        <v>1000</v>
      </c>
      <c r="C22" s="51">
        <v>1000</v>
      </c>
      <c r="D22" s="51">
        <v>0</v>
      </c>
      <c r="E22" s="51">
        <v>0</v>
      </c>
      <c r="F22" s="59">
        <f t="shared" si="0"/>
        <v>0</v>
      </c>
    </row>
    <row r="23" spans="1:6" s="7" customFormat="1" ht="11.25" customHeight="1">
      <c r="A23" s="110" t="s">
        <v>199</v>
      </c>
      <c r="B23" s="51">
        <v>0</v>
      </c>
      <c r="C23" s="51">
        <v>0</v>
      </c>
      <c r="D23" s="51">
        <v>0</v>
      </c>
      <c r="E23" s="51">
        <v>0</v>
      </c>
      <c r="F23" s="59">
        <v>0</v>
      </c>
    </row>
    <row r="24" spans="1:6" s="7" customFormat="1" ht="11.25" customHeight="1">
      <c r="A24" s="110" t="s">
        <v>200</v>
      </c>
      <c r="B24" s="51">
        <f>SUM(B25:B28)-B29</f>
        <v>1459700</v>
      </c>
      <c r="C24" s="51">
        <f>SUM(C25:C28)-C29</f>
        <v>1459700</v>
      </c>
      <c r="D24" s="51">
        <f>SUM(D25:D28)-D29</f>
        <v>236282.8</v>
      </c>
      <c r="E24" s="51">
        <f>SUM(E25:E28)-E29</f>
        <v>616868.0900000001</v>
      </c>
      <c r="F24" s="59">
        <f t="shared" si="0"/>
        <v>42.259922586832914</v>
      </c>
    </row>
    <row r="25" spans="1:6" s="7" customFormat="1" ht="11.25" customHeight="1">
      <c r="A25" s="110" t="s">
        <v>201</v>
      </c>
      <c r="B25" s="51">
        <v>1400000</v>
      </c>
      <c r="C25" s="51">
        <v>1400000</v>
      </c>
      <c r="D25" s="51">
        <v>231412.53</v>
      </c>
      <c r="E25" s="51">
        <v>602521.25</v>
      </c>
      <c r="F25" s="59">
        <f t="shared" si="0"/>
        <v>43.03723214285714</v>
      </c>
    </row>
    <row r="26" spans="1:6" s="7" customFormat="1" ht="11.25" customHeight="1">
      <c r="A26" s="110" t="s">
        <v>202</v>
      </c>
      <c r="B26" s="51">
        <v>8700</v>
      </c>
      <c r="C26" s="51">
        <v>8700</v>
      </c>
      <c r="D26" s="51">
        <v>1581.07</v>
      </c>
      <c r="E26" s="51">
        <v>3365.26</v>
      </c>
      <c r="F26" s="59">
        <f t="shared" si="0"/>
        <v>38.68114942528736</v>
      </c>
    </row>
    <row r="27" spans="1:6" s="7" customFormat="1" ht="11.25" customHeight="1">
      <c r="A27" s="110" t="s">
        <v>203</v>
      </c>
      <c r="B27" s="51">
        <v>45000</v>
      </c>
      <c r="C27" s="51">
        <v>45000</v>
      </c>
      <c r="D27" s="51">
        <v>2643.52</v>
      </c>
      <c r="E27" s="51">
        <v>8999.55</v>
      </c>
      <c r="F27" s="59">
        <f t="shared" si="0"/>
        <v>19.999</v>
      </c>
    </row>
    <row r="28" spans="1:6" s="7" customFormat="1" ht="11.25" customHeight="1">
      <c r="A28" s="110" t="s">
        <v>204</v>
      </c>
      <c r="B28" s="51">
        <v>6000</v>
      </c>
      <c r="C28" s="51">
        <v>6000</v>
      </c>
      <c r="D28" s="51">
        <v>645.68</v>
      </c>
      <c r="E28" s="51">
        <v>1982.03</v>
      </c>
      <c r="F28" s="59">
        <f t="shared" si="0"/>
        <v>33.033833333333334</v>
      </c>
    </row>
    <row r="29" spans="1:6" s="7" customFormat="1" ht="11.25" customHeight="1">
      <c r="A29" s="110" t="s">
        <v>205</v>
      </c>
      <c r="B29" s="51">
        <v>0</v>
      </c>
      <c r="C29" s="51">
        <v>0</v>
      </c>
      <c r="D29" s="51">
        <v>0</v>
      </c>
      <c r="E29" s="51">
        <v>0</v>
      </c>
      <c r="F29" s="59">
        <v>0</v>
      </c>
    </row>
    <row r="30" spans="1:6" s="7" customFormat="1" ht="11.25" customHeight="1">
      <c r="A30" s="109" t="s">
        <v>206</v>
      </c>
      <c r="B30" s="51">
        <f>SUM(B31:B34)-B35</f>
        <v>352000</v>
      </c>
      <c r="C30" s="51">
        <f>SUM(C31:C34)-C35</f>
        <v>352000</v>
      </c>
      <c r="D30" s="51">
        <f>SUM(D31:D34)-D35</f>
        <v>44226.36</v>
      </c>
      <c r="E30" s="51">
        <f>SUM(E31:E34)-E35</f>
        <v>108874.86</v>
      </c>
      <c r="F30" s="59">
        <f t="shared" si="0"/>
        <v>30.930357954545457</v>
      </c>
    </row>
    <row r="31" spans="1:6" s="7" customFormat="1" ht="11.25" customHeight="1">
      <c r="A31" s="110" t="s">
        <v>207</v>
      </c>
      <c r="B31" s="51">
        <v>352000</v>
      </c>
      <c r="C31" s="51">
        <v>352000</v>
      </c>
      <c r="D31" s="51">
        <v>44226.36</v>
      </c>
      <c r="E31" s="51">
        <v>108874.86</v>
      </c>
      <c r="F31" s="59">
        <f t="shared" si="0"/>
        <v>30.930357954545457</v>
      </c>
    </row>
    <row r="32" spans="1:6" s="7" customFormat="1" ht="11.25" customHeight="1">
      <c r="A32" s="110" t="s">
        <v>208</v>
      </c>
      <c r="B32" s="51">
        <v>0</v>
      </c>
      <c r="C32" s="51">
        <v>0</v>
      </c>
      <c r="D32" s="51">
        <v>0</v>
      </c>
      <c r="E32" s="51">
        <v>0</v>
      </c>
      <c r="F32" s="59">
        <v>0</v>
      </c>
    </row>
    <row r="33" spans="1:6" s="7" customFormat="1" ht="11.25" customHeight="1">
      <c r="A33" s="110" t="s">
        <v>209</v>
      </c>
      <c r="B33" s="51">
        <v>0</v>
      </c>
      <c r="C33" s="51">
        <v>0</v>
      </c>
      <c r="D33" s="51">
        <v>0</v>
      </c>
      <c r="E33" s="51">
        <v>0</v>
      </c>
      <c r="F33" s="59">
        <v>0</v>
      </c>
    </row>
    <row r="34" spans="1:6" s="7" customFormat="1" ht="11.25" customHeight="1">
      <c r="A34" s="110" t="s">
        <v>210</v>
      </c>
      <c r="B34" s="51">
        <v>0</v>
      </c>
      <c r="C34" s="51">
        <v>0</v>
      </c>
      <c r="D34" s="51">
        <v>0</v>
      </c>
      <c r="E34" s="51">
        <v>0</v>
      </c>
      <c r="F34" s="59">
        <v>0</v>
      </c>
    </row>
    <row r="35" spans="1:6" s="7" customFormat="1" ht="11.25" customHeight="1">
      <c r="A35" s="110" t="s">
        <v>211</v>
      </c>
      <c r="B35" s="51">
        <v>0</v>
      </c>
      <c r="C35" s="51">
        <v>0</v>
      </c>
      <c r="D35" s="51">
        <v>0</v>
      </c>
      <c r="E35" s="51">
        <v>0</v>
      </c>
      <c r="F35" s="59">
        <v>0</v>
      </c>
    </row>
    <row r="36" spans="1:6" s="7" customFormat="1" ht="11.25" customHeight="1">
      <c r="A36" s="109" t="s">
        <v>212</v>
      </c>
      <c r="B36" s="58">
        <f>SUM(B37:B40)-B41</f>
        <v>0</v>
      </c>
      <c r="C36" s="58">
        <f>SUM(C37:C40)-C41</f>
        <v>0</v>
      </c>
      <c r="D36" s="58">
        <f>SUM(D37:D40)-D41</f>
        <v>13226.42</v>
      </c>
      <c r="E36" s="58">
        <f>SUM(E37:E40)-E41</f>
        <v>0</v>
      </c>
      <c r="F36" s="59">
        <v>0</v>
      </c>
    </row>
    <row r="37" spans="1:6" s="7" customFormat="1" ht="11.25" customHeight="1">
      <c r="A37" s="110" t="s">
        <v>213</v>
      </c>
      <c r="B37" s="51">
        <v>0</v>
      </c>
      <c r="C37" s="51">
        <v>0</v>
      </c>
      <c r="D37" s="51">
        <v>0</v>
      </c>
      <c r="E37" s="51">
        <v>0</v>
      </c>
      <c r="F37" s="59">
        <v>0</v>
      </c>
    </row>
    <row r="38" spans="1:6" s="7" customFormat="1" ht="11.25" customHeight="1">
      <c r="A38" s="110" t="s">
        <v>214</v>
      </c>
      <c r="B38" s="58">
        <v>0</v>
      </c>
      <c r="C38" s="58">
        <v>0</v>
      </c>
      <c r="D38" s="58">
        <f>E16+E28</f>
        <v>13226.42</v>
      </c>
      <c r="E38" s="58">
        <v>0</v>
      </c>
      <c r="F38" s="59">
        <v>0</v>
      </c>
    </row>
    <row r="39" spans="1:6" s="7" customFormat="1" ht="11.25" customHeight="1">
      <c r="A39" s="110" t="s">
        <v>215</v>
      </c>
      <c r="B39" s="58">
        <v>0</v>
      </c>
      <c r="C39" s="58">
        <v>0</v>
      </c>
      <c r="D39" s="58">
        <v>0</v>
      </c>
      <c r="E39" s="58">
        <v>0</v>
      </c>
      <c r="F39" s="59">
        <v>0</v>
      </c>
    </row>
    <row r="40" spans="1:6" s="7" customFormat="1" ht="11.25" customHeight="1">
      <c r="A40" s="110" t="s">
        <v>216</v>
      </c>
      <c r="B40" s="58">
        <v>0</v>
      </c>
      <c r="C40" s="58">
        <v>0</v>
      </c>
      <c r="D40" s="58">
        <v>0</v>
      </c>
      <c r="E40" s="58">
        <v>0</v>
      </c>
      <c r="F40" s="59">
        <v>0</v>
      </c>
    </row>
    <row r="41" spans="1:6" s="7" customFormat="1" ht="11.25" customHeight="1">
      <c r="A41" s="110" t="s">
        <v>217</v>
      </c>
      <c r="B41" s="58">
        <v>0</v>
      </c>
      <c r="C41" s="58">
        <v>0</v>
      </c>
      <c r="D41" s="58">
        <v>0</v>
      </c>
      <c r="E41" s="58">
        <v>0</v>
      </c>
      <c r="F41" s="59">
        <v>0</v>
      </c>
    </row>
    <row r="42" spans="1:6" s="7" customFormat="1" ht="11.25" customHeight="1">
      <c r="A42" s="109" t="s">
        <v>218</v>
      </c>
      <c r="B42" s="58">
        <f>B43+B46+B47+B48+B49+B50+B51</f>
        <v>35198000</v>
      </c>
      <c r="C42" s="58">
        <f>C43+C46+C47+C48+C49+C50+C51</f>
        <v>35198000</v>
      </c>
      <c r="D42" s="58">
        <f>D43+D46+D47+D48+D49+D50+D51</f>
        <v>5512490.149999999</v>
      </c>
      <c r="E42" s="58">
        <f>E43+E46+E47+E48+E49+E50+E51</f>
        <v>15776075.55</v>
      </c>
      <c r="F42" s="59">
        <f t="shared" si="0"/>
        <v>44.82094309335758</v>
      </c>
    </row>
    <row r="43" spans="1:6" s="7" customFormat="1" ht="11.25" customHeight="1">
      <c r="A43" s="109" t="s">
        <v>219</v>
      </c>
      <c r="B43" s="58">
        <f>B44+B45</f>
        <v>13400000</v>
      </c>
      <c r="C43" s="58">
        <f>C44+C45</f>
        <v>13400000</v>
      </c>
      <c r="D43" s="58">
        <f>D44+D45</f>
        <v>2029287.83</v>
      </c>
      <c r="E43" s="58">
        <f>E44+E45</f>
        <v>5705890.08</v>
      </c>
      <c r="F43" s="59">
        <f t="shared" si="0"/>
        <v>42.58126925373135</v>
      </c>
    </row>
    <row r="44" spans="1:6" s="7" customFormat="1" ht="11.25" customHeight="1">
      <c r="A44" s="109" t="s">
        <v>220</v>
      </c>
      <c r="B44" s="58">
        <v>13400000</v>
      </c>
      <c r="C44" s="58">
        <v>13400000</v>
      </c>
      <c r="D44" s="58">
        <v>2029287.83</v>
      </c>
      <c r="E44" s="58">
        <v>5705890.08</v>
      </c>
      <c r="F44" s="59">
        <f t="shared" si="0"/>
        <v>42.58126925373135</v>
      </c>
    </row>
    <row r="45" spans="1:6" s="7" customFormat="1" ht="11.25" customHeight="1">
      <c r="A45" s="111" t="s">
        <v>221</v>
      </c>
      <c r="B45" s="58">
        <v>0</v>
      </c>
      <c r="C45" s="58">
        <v>0</v>
      </c>
      <c r="D45" s="58">
        <v>0</v>
      </c>
      <c r="E45" s="58">
        <v>0</v>
      </c>
      <c r="F45" s="59">
        <v>0</v>
      </c>
    </row>
    <row r="46" spans="1:6" s="7" customFormat="1" ht="11.25" customHeight="1">
      <c r="A46" s="109" t="s">
        <v>222</v>
      </c>
      <c r="B46" s="58">
        <f>13300000+6200000</f>
        <v>19500000</v>
      </c>
      <c r="C46" s="58">
        <f>13300000+6200000</f>
        <v>19500000</v>
      </c>
      <c r="D46" s="58">
        <f>2055699.9+714454.34</f>
        <v>2770154.2399999998</v>
      </c>
      <c r="E46" s="58">
        <f>5932718.92+2630927.02</f>
        <v>8563645.94</v>
      </c>
      <c r="F46" s="59">
        <f t="shared" si="0"/>
        <v>43.916133025641024</v>
      </c>
    </row>
    <row r="47" spans="1:6" s="7" customFormat="1" ht="11.25" customHeight="1">
      <c r="A47" s="109" t="s">
        <v>223</v>
      </c>
      <c r="B47" s="58">
        <v>230000</v>
      </c>
      <c r="C47" s="58">
        <v>230000</v>
      </c>
      <c r="D47" s="58">
        <v>35713.3</v>
      </c>
      <c r="E47" s="58">
        <v>107139.9</v>
      </c>
      <c r="F47" s="59">
        <f t="shared" si="0"/>
        <v>46.582565217391306</v>
      </c>
    </row>
    <row r="48" spans="1:6" s="7" customFormat="1" ht="11.25" customHeight="1">
      <c r="A48" s="109" t="s">
        <v>224</v>
      </c>
      <c r="B48" s="51">
        <v>460000</v>
      </c>
      <c r="C48" s="51">
        <v>460000</v>
      </c>
      <c r="D48" s="51">
        <v>47537.64</v>
      </c>
      <c r="E48" s="51">
        <v>147493.49</v>
      </c>
      <c r="F48" s="59">
        <f t="shared" si="0"/>
        <v>32.06380217391304</v>
      </c>
    </row>
    <row r="49" spans="1:6" s="7" customFormat="1" ht="11.25" customHeight="1">
      <c r="A49" s="109" t="s">
        <v>225</v>
      </c>
      <c r="B49" s="58">
        <v>18000</v>
      </c>
      <c r="C49" s="58">
        <v>18000</v>
      </c>
      <c r="D49" s="58">
        <v>516.88</v>
      </c>
      <c r="E49" s="58">
        <v>2326.85</v>
      </c>
      <c r="F49" s="59">
        <f>E49/C49*100</f>
        <v>12.926944444444445</v>
      </c>
    </row>
    <row r="50" spans="1:6" s="7" customFormat="1" ht="11.25" customHeight="1">
      <c r="A50" s="109" t="s">
        <v>226</v>
      </c>
      <c r="B50" s="51">
        <v>1590000</v>
      </c>
      <c r="C50" s="51">
        <v>1590000</v>
      </c>
      <c r="D50" s="51">
        <v>629280.26</v>
      </c>
      <c r="E50" s="51">
        <v>1249579.29</v>
      </c>
      <c r="F50" s="59">
        <f t="shared" si="0"/>
        <v>78.58989245283018</v>
      </c>
    </row>
    <row r="51" spans="1:6" s="7" customFormat="1" ht="11.25" customHeight="1">
      <c r="A51" s="109" t="s">
        <v>227</v>
      </c>
      <c r="B51" s="51">
        <v>0</v>
      </c>
      <c r="C51" s="51">
        <v>0</v>
      </c>
      <c r="D51" s="51">
        <v>0</v>
      </c>
      <c r="E51" s="51">
        <v>0</v>
      </c>
      <c r="F51" s="59">
        <v>0</v>
      </c>
    </row>
    <row r="52" spans="1:6" s="7" customFormat="1" ht="11.25" customHeight="1">
      <c r="A52" s="112" t="s">
        <v>228</v>
      </c>
      <c r="B52" s="52">
        <f>B11+B42</f>
        <v>38304200</v>
      </c>
      <c r="C52" s="52">
        <f>C11+C42</f>
        <v>38304200</v>
      </c>
      <c r="D52" s="52">
        <f>D11+D42</f>
        <v>5975119.199999999</v>
      </c>
      <c r="E52" s="52">
        <f>E11+E42</f>
        <v>16821236.71</v>
      </c>
      <c r="F52" s="45">
        <f t="shared" si="0"/>
        <v>43.914862364962595</v>
      </c>
    </row>
    <row r="53" spans="1:6" s="7" customFormat="1" ht="11.25">
      <c r="A53" s="4"/>
      <c r="B53" s="20" t="s">
        <v>122</v>
      </c>
      <c r="C53" s="20" t="s">
        <v>122</v>
      </c>
      <c r="D53" s="155" t="s">
        <v>123</v>
      </c>
      <c r="E53" s="155"/>
      <c r="F53" s="155"/>
    </row>
    <row r="54" spans="1:6" s="7" customFormat="1" ht="11.25" customHeight="1">
      <c r="A54" s="18" t="s">
        <v>229</v>
      </c>
      <c r="B54" s="21" t="s">
        <v>125</v>
      </c>
      <c r="C54" s="21" t="s">
        <v>126</v>
      </c>
      <c r="D54" s="20" t="s">
        <v>127</v>
      </c>
      <c r="E54" s="20" t="s">
        <v>129</v>
      </c>
      <c r="F54" s="30" t="s">
        <v>128</v>
      </c>
    </row>
    <row r="55" spans="1:6" s="7" customFormat="1" ht="11.25" customHeight="1">
      <c r="A55" s="17"/>
      <c r="B55" s="22"/>
      <c r="C55" s="23" t="s">
        <v>130</v>
      </c>
      <c r="D55" s="22"/>
      <c r="E55" s="23" t="s">
        <v>131</v>
      </c>
      <c r="F55" s="19" t="s">
        <v>186</v>
      </c>
    </row>
    <row r="56" spans="1:6" s="7" customFormat="1" ht="22.5" customHeight="1">
      <c r="A56" s="109" t="s">
        <v>230</v>
      </c>
      <c r="B56" s="67">
        <v>0</v>
      </c>
      <c r="C56" s="67">
        <v>0</v>
      </c>
      <c r="D56" s="113">
        <v>0</v>
      </c>
      <c r="E56" s="113">
        <v>0</v>
      </c>
      <c r="F56" s="48">
        <v>0</v>
      </c>
    </row>
    <row r="57" spans="1:6" s="7" customFormat="1" ht="11.25" customHeight="1">
      <c r="A57" s="109" t="s">
        <v>231</v>
      </c>
      <c r="B57" s="58">
        <f>B58+B59+B60</f>
        <v>1073600</v>
      </c>
      <c r="C57" s="58">
        <f>C58+C59+C60</f>
        <v>1074761.6</v>
      </c>
      <c r="D57" s="58">
        <f>D58+D59+D60</f>
        <v>150902.27</v>
      </c>
      <c r="E57" s="58">
        <f>E58+E59+E60</f>
        <v>466754.65</v>
      </c>
      <c r="F57" s="54">
        <f>E57/C57*100</f>
        <v>43.42866827396885</v>
      </c>
    </row>
    <row r="58" spans="1:6" s="7" customFormat="1" ht="11.25" customHeight="1">
      <c r="A58" s="109" t="s">
        <v>232</v>
      </c>
      <c r="B58" s="58">
        <v>660600</v>
      </c>
      <c r="C58" s="58">
        <v>660600</v>
      </c>
      <c r="D58" s="58">
        <v>99610.14</v>
      </c>
      <c r="E58" s="58">
        <v>339792.64</v>
      </c>
      <c r="F58" s="54">
        <f aca="true" t="shared" si="1" ref="F58:F66">E58/C58*100</f>
        <v>51.43697244928853</v>
      </c>
    </row>
    <row r="59" spans="1:6" s="7" customFormat="1" ht="11.25" customHeight="1">
      <c r="A59" s="109" t="s">
        <v>233</v>
      </c>
      <c r="B59" s="58">
        <f>1060600-B58</f>
        <v>400000</v>
      </c>
      <c r="C59" s="58">
        <f>1061761.6-C58</f>
        <v>401161.6000000001</v>
      </c>
      <c r="D59" s="58">
        <f>145099.56-D58</f>
        <v>45489.42</v>
      </c>
      <c r="E59" s="58">
        <f>455995.57-E58</f>
        <v>116202.93</v>
      </c>
      <c r="F59" s="54">
        <f t="shared" si="1"/>
        <v>28.96661345452804</v>
      </c>
    </row>
    <row r="60" spans="1:6" s="7" customFormat="1" ht="11.25" customHeight="1">
      <c r="A60" s="109" t="s">
        <v>234</v>
      </c>
      <c r="B60" s="58">
        <v>13000</v>
      </c>
      <c r="C60" s="58">
        <v>13000</v>
      </c>
      <c r="D60" s="58">
        <v>5802.71</v>
      </c>
      <c r="E60" s="58">
        <v>10759.08</v>
      </c>
      <c r="F60" s="54">
        <f t="shared" si="1"/>
        <v>82.76215384615384</v>
      </c>
    </row>
    <row r="61" spans="1:6" s="7" customFormat="1" ht="11.25" customHeight="1">
      <c r="A61" s="109" t="s">
        <v>235</v>
      </c>
      <c r="B61" s="58">
        <f>B62+B63</f>
        <v>460000</v>
      </c>
      <c r="C61" s="58">
        <f>C62+C63</f>
        <v>460000</v>
      </c>
      <c r="D61" s="58">
        <f>D62+D63</f>
        <v>0</v>
      </c>
      <c r="E61" s="58">
        <f>E62+E63</f>
        <v>131517.72</v>
      </c>
      <c r="F61" s="54">
        <f t="shared" si="1"/>
        <v>28.590808695652175</v>
      </c>
    </row>
    <row r="62" spans="1:6" s="7" customFormat="1" ht="11.25" customHeight="1">
      <c r="A62" s="114" t="s">
        <v>236</v>
      </c>
      <c r="B62" s="58">
        <f>360000+50000+50000</f>
        <v>460000</v>
      </c>
      <c r="C62" s="58">
        <f>360000+50000+50000</f>
        <v>460000</v>
      </c>
      <c r="D62" s="58">
        <v>0</v>
      </c>
      <c r="E62" s="58">
        <v>131517.72</v>
      </c>
      <c r="F62" s="54">
        <f t="shared" si="1"/>
        <v>28.590808695652175</v>
      </c>
    </row>
    <row r="63" spans="1:6" s="7" customFormat="1" ht="11.25" customHeight="1">
      <c r="A63" s="115" t="s">
        <v>237</v>
      </c>
      <c r="B63" s="58">
        <v>0</v>
      </c>
      <c r="C63" s="58">
        <v>0</v>
      </c>
      <c r="D63" s="58">
        <v>0</v>
      </c>
      <c r="E63" s="58">
        <v>0</v>
      </c>
      <c r="F63" s="54">
        <v>0</v>
      </c>
    </row>
    <row r="64" spans="1:6" s="7" customFormat="1" ht="11.25" customHeight="1">
      <c r="A64" s="116" t="s">
        <v>238</v>
      </c>
      <c r="B64" s="51">
        <v>771600</v>
      </c>
      <c r="C64" s="58">
        <v>771600</v>
      </c>
      <c r="D64" s="58">
        <v>0</v>
      </c>
      <c r="E64" s="58">
        <v>0</v>
      </c>
      <c r="F64" s="54">
        <v>0</v>
      </c>
    </row>
    <row r="65" spans="1:6" s="7" customFormat="1" ht="11.25" customHeight="1">
      <c r="A65" s="117" t="s">
        <v>239</v>
      </c>
      <c r="B65" s="58">
        <v>0</v>
      </c>
      <c r="C65" s="58">
        <v>0</v>
      </c>
      <c r="D65" s="58">
        <v>0</v>
      </c>
      <c r="E65" s="58">
        <v>0</v>
      </c>
      <c r="F65" s="54">
        <v>0</v>
      </c>
    </row>
    <row r="66" spans="1:6" s="7" customFormat="1" ht="11.25" customHeight="1">
      <c r="A66" s="7" t="s">
        <v>240</v>
      </c>
      <c r="B66" s="118">
        <f>B56+B57+B61+B64+B65</f>
        <v>2305200</v>
      </c>
      <c r="C66" s="118">
        <f>C56+C57+C61+C64+C65</f>
        <v>2306361.6</v>
      </c>
      <c r="D66" s="118">
        <f>D56+D57+D61+D64+D65</f>
        <v>150902.27</v>
      </c>
      <c r="E66" s="118">
        <f>E56+E57+E61+E64+E65</f>
        <v>598272.37</v>
      </c>
      <c r="F66" s="45">
        <f t="shared" si="1"/>
        <v>25.940094129212</v>
      </c>
    </row>
    <row r="67" spans="1:6" s="7" customFormat="1" ht="31.5" customHeight="1">
      <c r="A67" s="171" t="s">
        <v>241</v>
      </c>
      <c r="B67" s="172"/>
      <c r="C67" s="172"/>
      <c r="D67" s="172"/>
      <c r="E67" s="172"/>
      <c r="F67" s="172"/>
    </row>
    <row r="68" spans="1:6" s="7" customFormat="1" ht="11.25">
      <c r="A68" s="4"/>
      <c r="B68" s="20" t="s">
        <v>122</v>
      </c>
      <c r="C68" s="20" t="s">
        <v>122</v>
      </c>
      <c r="D68" s="155" t="s">
        <v>123</v>
      </c>
      <c r="E68" s="155"/>
      <c r="F68" s="155"/>
    </row>
    <row r="69" spans="1:6" s="7" customFormat="1" ht="11.25">
      <c r="A69" s="18" t="s">
        <v>242</v>
      </c>
      <c r="B69" s="21" t="s">
        <v>125</v>
      </c>
      <c r="C69" s="21" t="s">
        <v>126</v>
      </c>
      <c r="D69" s="20" t="s">
        <v>127</v>
      </c>
      <c r="E69" s="20" t="s">
        <v>129</v>
      </c>
      <c r="F69" s="30" t="s">
        <v>128</v>
      </c>
    </row>
    <row r="70" spans="1:6" s="7" customFormat="1" ht="11.25">
      <c r="A70" s="8"/>
      <c r="B70" s="22"/>
      <c r="C70" s="23" t="s">
        <v>130</v>
      </c>
      <c r="D70" s="22"/>
      <c r="E70" s="23" t="s">
        <v>131</v>
      </c>
      <c r="F70" s="19" t="s">
        <v>186</v>
      </c>
    </row>
    <row r="71" spans="1:6" s="7" customFormat="1" ht="11.25">
      <c r="A71" s="119" t="s">
        <v>243</v>
      </c>
      <c r="B71" s="125">
        <f>SUM(B72:B77)</f>
        <v>7039600</v>
      </c>
      <c r="C71" s="125">
        <f>SUM(C72:C77)</f>
        <v>7039600</v>
      </c>
      <c r="D71" s="125">
        <f>SUM(D72:D77)</f>
        <v>1102500.4000000001</v>
      </c>
      <c r="E71" s="125">
        <f>SUM(E72:E77)</f>
        <v>3153366.9899999993</v>
      </c>
      <c r="F71" s="126">
        <f>E71/C71*100</f>
        <v>44.79468989715324</v>
      </c>
    </row>
    <row r="72" spans="1:8" s="7" customFormat="1" ht="11.25">
      <c r="A72" s="109" t="s">
        <v>244</v>
      </c>
      <c r="B72" s="127">
        <v>2680000</v>
      </c>
      <c r="C72" s="127">
        <v>2680000</v>
      </c>
      <c r="D72" s="127">
        <v>405792.42</v>
      </c>
      <c r="E72" s="127">
        <v>1140684.05</v>
      </c>
      <c r="F72" s="126">
        <f aca="true" t="shared" si="2" ref="F72:F82">E72/C72*100</f>
        <v>42.562837686567164</v>
      </c>
      <c r="G72" s="61"/>
      <c r="H72" s="61"/>
    </row>
    <row r="73" spans="1:8" s="7" customFormat="1" ht="11.25">
      <c r="A73" s="109" t="s">
        <v>245</v>
      </c>
      <c r="B73" s="127">
        <f>2660000+1240000</f>
        <v>3900000</v>
      </c>
      <c r="C73" s="127">
        <f>2660000+1240000</f>
        <v>3900000</v>
      </c>
      <c r="D73" s="127">
        <f>411139.99+142890.88</f>
        <v>554030.87</v>
      </c>
      <c r="E73" s="127">
        <f>1185688.68+526159.95</f>
        <v>1711848.63</v>
      </c>
      <c r="F73" s="126">
        <f t="shared" si="2"/>
        <v>43.89355461538461</v>
      </c>
      <c r="G73" s="61"/>
      <c r="H73" s="61"/>
    </row>
    <row r="74" spans="1:8" s="7" customFormat="1" ht="11.25" customHeight="1">
      <c r="A74" s="109" t="s">
        <v>246</v>
      </c>
      <c r="B74" s="58">
        <v>46000</v>
      </c>
      <c r="C74" s="58">
        <v>46000</v>
      </c>
      <c r="D74" s="58">
        <v>7142.66</v>
      </c>
      <c r="E74" s="58">
        <v>21427.98</v>
      </c>
      <c r="F74" s="126">
        <f t="shared" si="2"/>
        <v>46.582565217391306</v>
      </c>
      <c r="G74" s="61"/>
      <c r="H74" s="61"/>
    </row>
    <row r="75" spans="1:8" s="7" customFormat="1" ht="11.25" customHeight="1">
      <c r="A75" s="109" t="s">
        <v>247</v>
      </c>
      <c r="B75" s="58">
        <v>92000</v>
      </c>
      <c r="C75" s="58">
        <v>92000</v>
      </c>
      <c r="D75" s="58">
        <v>9507.52</v>
      </c>
      <c r="E75" s="58">
        <v>29498.71</v>
      </c>
      <c r="F75" s="126">
        <f t="shared" si="2"/>
        <v>32.06381521739131</v>
      </c>
      <c r="G75" s="61"/>
      <c r="H75" s="61"/>
    </row>
    <row r="76" spans="1:8" s="7" customFormat="1" ht="11.25" customHeight="1">
      <c r="A76" s="109" t="s">
        <v>248</v>
      </c>
      <c r="B76" s="58">
        <v>3600</v>
      </c>
      <c r="C76" s="58">
        <v>3600</v>
      </c>
      <c r="D76" s="58">
        <v>103.35</v>
      </c>
      <c r="E76" s="58">
        <v>465.28</v>
      </c>
      <c r="F76" s="126">
        <f t="shared" si="2"/>
        <v>12.924444444444443</v>
      </c>
      <c r="G76" s="61"/>
      <c r="H76" s="61"/>
    </row>
    <row r="77" spans="1:8" s="7" customFormat="1" ht="11.25" customHeight="1">
      <c r="A77" s="109" t="s">
        <v>249</v>
      </c>
      <c r="B77" s="58">
        <v>318000</v>
      </c>
      <c r="C77" s="58">
        <v>318000</v>
      </c>
      <c r="D77" s="58">
        <v>125923.58</v>
      </c>
      <c r="E77" s="58">
        <v>249442.34</v>
      </c>
      <c r="F77" s="126">
        <f t="shared" si="2"/>
        <v>78.44098742138364</v>
      </c>
      <c r="G77" s="61"/>
      <c r="H77" s="61"/>
    </row>
    <row r="78" spans="1:7" s="7" customFormat="1" ht="11.25" customHeight="1">
      <c r="A78" s="109" t="s">
        <v>250</v>
      </c>
      <c r="B78" s="58">
        <f>SUM(B79:B81)</f>
        <v>11370000</v>
      </c>
      <c r="C78" s="58">
        <f>SUM(C79:C81)</f>
        <v>11374335.73</v>
      </c>
      <c r="D78" s="58">
        <f>SUM(D79:D81)</f>
        <v>1830455.6</v>
      </c>
      <c r="E78" s="58">
        <f>SUM(E79:E81)</f>
        <v>5141070.36</v>
      </c>
      <c r="F78" s="126">
        <f t="shared" si="2"/>
        <v>45.19886243941561</v>
      </c>
      <c r="G78" s="61"/>
    </row>
    <row r="79" spans="1:7" s="7" customFormat="1" ht="11.25" customHeight="1">
      <c r="A79" s="109" t="s">
        <v>251</v>
      </c>
      <c r="B79" s="58">
        <v>11330000</v>
      </c>
      <c r="C79" s="58">
        <v>11330000</v>
      </c>
      <c r="D79" s="58">
        <v>1821345.57</v>
      </c>
      <c r="E79" s="58">
        <v>5096734.63</v>
      </c>
      <c r="F79" s="126">
        <f t="shared" si="2"/>
        <v>44.98441862312445</v>
      </c>
      <c r="G79" s="61"/>
    </row>
    <row r="80" spans="1:7" s="7" customFormat="1" ht="11.25" customHeight="1">
      <c r="A80" s="109" t="s">
        <v>252</v>
      </c>
      <c r="B80" s="58">
        <v>0</v>
      </c>
      <c r="C80" s="58">
        <v>0</v>
      </c>
      <c r="D80" s="58">
        <v>0</v>
      </c>
      <c r="E80" s="58">
        <v>0</v>
      </c>
      <c r="F80" s="126">
        <v>0</v>
      </c>
      <c r="G80" s="61"/>
    </row>
    <row r="81" spans="1:7" s="7" customFormat="1" ht="11.25" customHeight="1">
      <c r="A81" s="109" t="s">
        <v>253</v>
      </c>
      <c r="B81" s="58">
        <v>40000</v>
      </c>
      <c r="C81" s="58">
        <v>44335.73</v>
      </c>
      <c r="D81" s="58">
        <v>9110.03</v>
      </c>
      <c r="E81" s="58">
        <v>44335.73</v>
      </c>
      <c r="F81" s="126">
        <f t="shared" si="2"/>
        <v>100</v>
      </c>
      <c r="G81" s="61"/>
    </row>
    <row r="82" spans="1:6" s="7" customFormat="1" ht="11.25" customHeight="1">
      <c r="A82" s="128" t="s">
        <v>254</v>
      </c>
      <c r="B82" s="60">
        <f>B79-B71</f>
        <v>4290400</v>
      </c>
      <c r="C82" s="60">
        <f>C79-C71</f>
        <v>4290400</v>
      </c>
      <c r="D82" s="60">
        <f>D79-D71</f>
        <v>718845.1699999999</v>
      </c>
      <c r="E82" s="60">
        <f>E79-E71</f>
        <v>1943367.6400000006</v>
      </c>
      <c r="F82" s="129">
        <f t="shared" si="2"/>
        <v>45.295721611038616</v>
      </c>
    </row>
    <row r="83" spans="1:6" s="7" customFormat="1" ht="11.25" customHeight="1">
      <c r="A83" s="156" t="s">
        <v>255</v>
      </c>
      <c r="B83" s="120"/>
      <c r="C83" s="120"/>
      <c r="D83" s="120"/>
      <c r="E83" s="120"/>
      <c r="F83" s="120"/>
    </row>
    <row r="84" spans="1:6" s="7" customFormat="1" ht="11.25" customHeight="1">
      <c r="A84" s="121" t="s">
        <v>256</v>
      </c>
      <c r="B84" s="121"/>
      <c r="C84" s="121"/>
      <c r="D84" s="121"/>
      <c r="E84" s="121"/>
      <c r="F84" s="121"/>
    </row>
    <row r="85" spans="1:6" s="7" customFormat="1" ht="11.25" customHeight="1">
      <c r="A85" s="4"/>
      <c r="B85" s="20" t="s">
        <v>135</v>
      </c>
      <c r="C85" s="20" t="s">
        <v>135</v>
      </c>
      <c r="D85" s="122" t="s">
        <v>0</v>
      </c>
      <c r="E85" s="155"/>
      <c r="F85" s="155"/>
    </row>
    <row r="86" spans="1:6" s="7" customFormat="1" ht="11.25" customHeight="1">
      <c r="A86" s="18" t="s">
        <v>257</v>
      </c>
      <c r="B86" s="21" t="s">
        <v>125</v>
      </c>
      <c r="C86" s="21" t="s">
        <v>126</v>
      </c>
      <c r="D86" s="20" t="s">
        <v>127</v>
      </c>
      <c r="E86" s="20" t="s">
        <v>129</v>
      </c>
      <c r="F86" s="10" t="s">
        <v>128</v>
      </c>
    </row>
    <row r="87" spans="1:6" s="7" customFormat="1" ht="11.25" customHeight="1">
      <c r="A87" s="17"/>
      <c r="B87" s="22"/>
      <c r="C87" s="23" t="s">
        <v>2</v>
      </c>
      <c r="D87" s="22"/>
      <c r="E87" s="13" t="s">
        <v>3</v>
      </c>
      <c r="F87" s="13" t="s">
        <v>258</v>
      </c>
    </row>
    <row r="88" spans="1:6" s="7" customFormat="1" ht="11.25" customHeight="1">
      <c r="A88" s="119" t="s">
        <v>259</v>
      </c>
      <c r="B88" s="130">
        <f>B89+B90</f>
        <v>8717000</v>
      </c>
      <c r="C88" s="130">
        <f>C89+C90</f>
        <v>8717000</v>
      </c>
      <c r="D88" s="130">
        <f>D89+D90</f>
        <v>1027221.1000000001</v>
      </c>
      <c r="E88" s="131">
        <f>E89+E90</f>
        <v>3467583.56</v>
      </c>
      <c r="F88" s="132">
        <f>E88/C88*100</f>
        <v>39.77955213949753</v>
      </c>
    </row>
    <row r="89" spans="1:6" s="7" customFormat="1" ht="11.25" customHeight="1">
      <c r="A89" s="109" t="s">
        <v>260</v>
      </c>
      <c r="B89" s="133">
        <v>1559000</v>
      </c>
      <c r="C89" s="133">
        <v>1559000</v>
      </c>
      <c r="D89" s="134">
        <v>249980.42</v>
      </c>
      <c r="E89" s="108">
        <v>694288.37</v>
      </c>
      <c r="F89" s="132">
        <f aca="true" t="shared" si="3" ref="F89:F94">E89/C89*100</f>
        <v>44.53421231558691</v>
      </c>
    </row>
    <row r="90" spans="1:6" s="7" customFormat="1" ht="11.25" customHeight="1">
      <c r="A90" s="109" t="s">
        <v>261</v>
      </c>
      <c r="B90" s="133">
        <v>7158000</v>
      </c>
      <c r="C90" s="133">
        <v>7158000</v>
      </c>
      <c r="D90" s="134">
        <v>777240.68</v>
      </c>
      <c r="E90" s="108">
        <f>2773295.19</f>
        <v>2773295.19</v>
      </c>
      <c r="F90" s="132">
        <f t="shared" si="3"/>
        <v>38.74399538977368</v>
      </c>
    </row>
    <row r="91" spans="1:6" s="7" customFormat="1" ht="11.25" customHeight="1">
      <c r="A91" s="109" t="s">
        <v>262</v>
      </c>
      <c r="B91" s="133">
        <f>B92+B93</f>
        <v>2653000</v>
      </c>
      <c r="C91" s="133">
        <f>C92+C93</f>
        <v>2653000</v>
      </c>
      <c r="D91" s="133">
        <f>D92+D93</f>
        <v>421490.98</v>
      </c>
      <c r="E91" s="135">
        <f>E92+E93</f>
        <v>1216987.1</v>
      </c>
      <c r="F91" s="132">
        <f t="shared" si="3"/>
        <v>45.87211081794196</v>
      </c>
    </row>
    <row r="92" spans="1:6" s="7" customFormat="1" ht="11.25" customHeight="1">
      <c r="A92" s="109" t="s">
        <v>263</v>
      </c>
      <c r="B92" s="133">
        <v>720000</v>
      </c>
      <c r="C92" s="133">
        <v>720000</v>
      </c>
      <c r="D92" s="134">
        <v>144899.01</v>
      </c>
      <c r="E92" s="108">
        <v>358493.48</v>
      </c>
      <c r="F92" s="132">
        <f t="shared" si="3"/>
        <v>49.79076111111111</v>
      </c>
    </row>
    <row r="93" spans="1:6" s="7" customFormat="1" ht="11.25" customHeight="1">
      <c r="A93" s="136" t="s">
        <v>264</v>
      </c>
      <c r="B93" s="133">
        <v>1933000</v>
      </c>
      <c r="C93" s="133">
        <v>1933000</v>
      </c>
      <c r="D93" s="134">
        <v>276591.97</v>
      </c>
      <c r="E93" s="108">
        <v>858493.62</v>
      </c>
      <c r="F93" s="132">
        <f t="shared" si="3"/>
        <v>44.41249974133471</v>
      </c>
    </row>
    <row r="94" spans="1:8" s="7" customFormat="1" ht="11.25" customHeight="1">
      <c r="A94" s="136" t="s">
        <v>265</v>
      </c>
      <c r="B94" s="137">
        <f>B88+B91</f>
        <v>11370000</v>
      </c>
      <c r="C94" s="137">
        <f>C88+C91</f>
        <v>11370000</v>
      </c>
      <c r="D94" s="137">
        <f>D88+D91</f>
        <v>1448712.08</v>
      </c>
      <c r="E94" s="138">
        <f>E88+E91</f>
        <v>4684570.66</v>
      </c>
      <c r="F94" s="138">
        <f t="shared" si="3"/>
        <v>41.2011491644679</v>
      </c>
      <c r="G94" s="61"/>
      <c r="H94" s="61"/>
    </row>
    <row r="95" spans="1:6" s="6" customFormat="1" ht="24.75" customHeight="1">
      <c r="A95" s="123" t="s">
        <v>266</v>
      </c>
      <c r="B95" s="124"/>
      <c r="C95" s="124"/>
      <c r="D95" s="124"/>
      <c r="E95" s="209"/>
      <c r="F95" s="139" t="s">
        <v>267</v>
      </c>
    </row>
    <row r="96" spans="1:6" s="7" customFormat="1" ht="11.25" customHeight="1">
      <c r="A96" s="210" t="s">
        <v>268</v>
      </c>
      <c r="B96" s="211"/>
      <c r="C96" s="211"/>
      <c r="D96" s="211"/>
      <c r="E96" s="212"/>
      <c r="F96" s="141">
        <v>0</v>
      </c>
    </row>
    <row r="97" spans="1:6" s="7" customFormat="1" ht="11.25" customHeight="1">
      <c r="A97" s="210" t="s">
        <v>269</v>
      </c>
      <c r="B97" s="211"/>
      <c r="C97" s="211"/>
      <c r="D97" s="211"/>
      <c r="E97" s="212"/>
      <c r="F97" s="142">
        <v>0</v>
      </c>
    </row>
    <row r="98" spans="1:6" s="7" customFormat="1" ht="11.25" customHeight="1">
      <c r="A98" s="213" t="s">
        <v>270</v>
      </c>
      <c r="B98" s="214"/>
      <c r="C98" s="214"/>
      <c r="D98" s="214"/>
      <c r="E98" s="215"/>
      <c r="F98" s="107">
        <f>F96+F97</f>
        <v>0</v>
      </c>
    </row>
    <row r="99" spans="1:6" s="7" customFormat="1" ht="15.75">
      <c r="A99" s="216" t="s">
        <v>271</v>
      </c>
      <c r="B99" s="216"/>
      <c r="C99" s="216"/>
      <c r="D99" s="216"/>
      <c r="E99" s="217"/>
      <c r="F99" s="143">
        <f>(E88-F98)/E78*100</f>
        <v>67.44866958016112</v>
      </c>
    </row>
    <row r="100" spans="1:7" s="144" customFormat="1" ht="24.75" customHeight="1">
      <c r="A100" s="123" t="s">
        <v>272</v>
      </c>
      <c r="B100" s="123"/>
      <c r="C100" s="123"/>
      <c r="D100" s="218"/>
      <c r="E100" s="219" t="s">
        <v>267</v>
      </c>
      <c r="F100" s="220"/>
      <c r="G100" s="7"/>
    </row>
    <row r="101" spans="1:6" s="7" customFormat="1" ht="11.25" customHeight="1">
      <c r="A101" s="221" t="s">
        <v>273</v>
      </c>
      <c r="B101" s="222"/>
      <c r="C101" s="222"/>
      <c r="D101" s="223"/>
      <c r="E101" s="224">
        <v>133247.47</v>
      </c>
      <c r="F101" s="225"/>
    </row>
    <row r="102" spans="1:6" s="7" customFormat="1" ht="11.25" customHeight="1">
      <c r="A102" s="226" t="s">
        <v>274</v>
      </c>
      <c r="B102" s="227"/>
      <c r="C102" s="227"/>
      <c r="D102" s="228"/>
      <c r="E102" s="224">
        <v>133247.47</v>
      </c>
      <c r="F102" s="225"/>
    </row>
    <row r="103" spans="1:6" s="7" customFormat="1" ht="31.5" customHeight="1">
      <c r="A103" s="171" t="s">
        <v>275</v>
      </c>
      <c r="B103" s="172"/>
      <c r="C103" s="172"/>
      <c r="D103" s="172"/>
      <c r="E103" s="172"/>
      <c r="F103" s="172"/>
    </row>
    <row r="104" spans="1:6" s="7" customFormat="1" ht="11.25" customHeight="1">
      <c r="A104" s="146"/>
      <c r="B104" s="20" t="s">
        <v>122</v>
      </c>
      <c r="C104" s="20" t="s">
        <v>122</v>
      </c>
      <c r="D104" s="155" t="s">
        <v>123</v>
      </c>
      <c r="E104" s="155"/>
      <c r="F104" s="155"/>
    </row>
    <row r="105" spans="1:6" s="7" customFormat="1" ht="11.25" customHeight="1">
      <c r="A105" s="147" t="s">
        <v>276</v>
      </c>
      <c r="B105" s="21" t="s">
        <v>125</v>
      </c>
      <c r="C105" s="21" t="s">
        <v>126</v>
      </c>
      <c r="D105" s="20" t="s">
        <v>127</v>
      </c>
      <c r="E105" s="20" t="s">
        <v>129</v>
      </c>
      <c r="F105" s="30" t="s">
        <v>128</v>
      </c>
    </row>
    <row r="106" spans="1:6" s="7" customFormat="1" ht="11.25" customHeight="1">
      <c r="A106" s="117"/>
      <c r="B106" s="22"/>
      <c r="C106" s="23" t="s">
        <v>130</v>
      </c>
      <c r="D106" s="22"/>
      <c r="E106" s="23" t="s">
        <v>131</v>
      </c>
      <c r="F106" s="19" t="s">
        <v>186</v>
      </c>
    </row>
    <row r="107" spans="1:6" s="7" customFormat="1" ht="11.25" customHeight="1">
      <c r="A107" s="128" t="s">
        <v>277</v>
      </c>
      <c r="B107" s="148">
        <f>B52*25%</f>
        <v>9576050</v>
      </c>
      <c r="C107" s="148">
        <f>C52*25%</f>
        <v>9576050</v>
      </c>
      <c r="D107" s="148">
        <f>D52*25%</f>
        <v>1493779.7999999998</v>
      </c>
      <c r="E107" s="148">
        <f>E52*25%</f>
        <v>4205309.1775</v>
      </c>
      <c r="F107" s="149">
        <f>E107/C107*100</f>
        <v>43.914862364962595</v>
      </c>
    </row>
    <row r="108" spans="1:6" s="7" customFormat="1" ht="11.25" customHeight="1">
      <c r="A108" s="4"/>
      <c r="B108" s="20" t="s">
        <v>135</v>
      </c>
      <c r="C108" s="20" t="s">
        <v>135</v>
      </c>
      <c r="D108" s="122" t="s">
        <v>0</v>
      </c>
      <c r="E108" s="155"/>
      <c r="F108" s="155"/>
    </row>
    <row r="109" spans="1:6" s="7" customFormat="1" ht="11.25" customHeight="1">
      <c r="A109" s="18" t="s">
        <v>278</v>
      </c>
      <c r="B109" s="21" t="s">
        <v>125</v>
      </c>
      <c r="C109" s="21" t="s">
        <v>126</v>
      </c>
      <c r="D109" s="20" t="s">
        <v>127</v>
      </c>
      <c r="E109" s="20" t="s">
        <v>129</v>
      </c>
      <c r="F109" s="10" t="s">
        <v>128</v>
      </c>
    </row>
    <row r="110" spans="1:6" s="7" customFormat="1" ht="11.25" customHeight="1">
      <c r="A110" s="17"/>
      <c r="B110" s="22"/>
      <c r="C110" s="23" t="s">
        <v>2</v>
      </c>
      <c r="D110" s="22"/>
      <c r="E110" s="23" t="s">
        <v>3</v>
      </c>
      <c r="F110" s="13" t="s">
        <v>258</v>
      </c>
    </row>
    <row r="111" spans="1:6" s="7" customFormat="1" ht="11.25" customHeight="1">
      <c r="A111" s="119" t="s">
        <v>279</v>
      </c>
      <c r="B111" s="150">
        <f>B112+B113</f>
        <v>4188000</v>
      </c>
      <c r="C111" s="150">
        <f>C112+C113</f>
        <v>4155524.96</v>
      </c>
      <c r="D111" s="150">
        <f>D112+D113</f>
        <v>628725.3200000001</v>
      </c>
      <c r="E111" s="141">
        <f>E112+E113</f>
        <v>1728198.3900000001</v>
      </c>
      <c r="F111" s="151">
        <f>E111/C111*100</f>
        <v>41.587967985638095</v>
      </c>
    </row>
    <row r="112" spans="1:6" s="7" customFormat="1" ht="11.25" customHeight="1">
      <c r="A112" s="109" t="s">
        <v>280</v>
      </c>
      <c r="B112" s="152">
        <f>B89+B92</f>
        <v>2279000</v>
      </c>
      <c r="C112" s="152">
        <f>C89+C92</f>
        <v>2279000</v>
      </c>
      <c r="D112" s="152">
        <f>D89+D92</f>
        <v>394879.43000000005</v>
      </c>
      <c r="E112" s="152">
        <f>E89+E92</f>
        <v>1052781.85</v>
      </c>
      <c r="F112" s="151">
        <f aca="true" t="shared" si="4" ref="F112:F121">E112/C112*100</f>
        <v>46.19490346643265</v>
      </c>
    </row>
    <row r="113" spans="1:6" s="7" customFormat="1" ht="11.25" customHeight="1">
      <c r="A113" s="109" t="s">
        <v>281</v>
      </c>
      <c r="B113" s="152">
        <f>5000+886000+144000+108000+50000+30000+550000+136000</f>
        <v>1909000</v>
      </c>
      <c r="C113" s="152">
        <f>7000+692000+144000+108000+25000+661624.96+129900+109000</f>
        <v>1876524.96</v>
      </c>
      <c r="D113" s="152">
        <f>490+43226.72+27800+20600+131537.8+10191.37</f>
        <v>233845.88999999998</v>
      </c>
      <c r="E113" s="151">
        <f>3555+65293.17+69500+51500+4599+424243.06+56726.31</f>
        <v>675416.54</v>
      </c>
      <c r="F113" s="151">
        <f t="shared" si="4"/>
        <v>35.99294197504307</v>
      </c>
    </row>
    <row r="114" spans="1:6" s="7" customFormat="1" ht="11.25" customHeight="1">
      <c r="A114" s="109" t="s">
        <v>282</v>
      </c>
      <c r="B114" s="152">
        <f>B115+B116</f>
        <v>11035000</v>
      </c>
      <c r="C114" s="152">
        <f>C115+C116</f>
        <v>11405500</v>
      </c>
      <c r="D114" s="152">
        <f>D115+D116</f>
        <v>1353349.0099999998</v>
      </c>
      <c r="E114" s="151">
        <f>E115+E116</f>
        <v>4566970.93</v>
      </c>
      <c r="F114" s="151">
        <f t="shared" si="4"/>
        <v>40.04183008197799</v>
      </c>
    </row>
    <row r="115" spans="1:6" s="7" customFormat="1" ht="11.25" customHeight="1">
      <c r="A115" s="109" t="s">
        <v>283</v>
      </c>
      <c r="B115" s="152">
        <f>B90+B93</f>
        <v>9091000</v>
      </c>
      <c r="C115" s="152">
        <f>C90+C93</f>
        <v>9091000</v>
      </c>
      <c r="D115" s="152">
        <f>D90+D93</f>
        <v>1053832.65</v>
      </c>
      <c r="E115" s="152">
        <f>E90+E93</f>
        <v>3631788.81</v>
      </c>
      <c r="F115" s="151">
        <f t="shared" si="4"/>
        <v>39.94927741722583</v>
      </c>
    </row>
    <row r="116" spans="1:6" s="7" customFormat="1" ht="11.25" customHeight="1">
      <c r="A116" s="109" t="s">
        <v>284</v>
      </c>
      <c r="B116" s="152">
        <f>30000+50000+5000+95000+462000+1302000</f>
        <v>1944000</v>
      </c>
      <c r="C116" s="152">
        <f>35000+421000+471500+1387000</f>
        <v>2314500</v>
      </c>
      <c r="D116" s="152">
        <f>5448+38403.54+28140.67+227524.15</f>
        <v>299516.36</v>
      </c>
      <c r="E116" s="151">
        <f>10805+345327.04+148240.61+430809.47</f>
        <v>935182.1199999999</v>
      </c>
      <c r="F116" s="151">
        <f t="shared" si="4"/>
        <v>40.405362713329005</v>
      </c>
    </row>
    <row r="117" spans="1:6" s="7" customFormat="1" ht="11.25" customHeight="1">
      <c r="A117" s="109" t="s">
        <v>285</v>
      </c>
      <c r="B117" s="134">
        <v>0</v>
      </c>
      <c r="C117" s="134">
        <v>0</v>
      </c>
      <c r="D117" s="134">
        <v>0</v>
      </c>
      <c r="E117" s="134">
        <v>0</v>
      </c>
      <c r="F117" s="151">
        <v>0</v>
      </c>
    </row>
    <row r="118" spans="1:6" s="7" customFormat="1" ht="11.25" customHeight="1">
      <c r="A118" s="109" t="s">
        <v>286</v>
      </c>
      <c r="B118" s="134">
        <v>0</v>
      </c>
      <c r="C118" s="134">
        <v>0</v>
      </c>
      <c r="D118" s="134">
        <v>0</v>
      </c>
      <c r="E118" s="134">
        <v>0</v>
      </c>
      <c r="F118" s="151">
        <v>0</v>
      </c>
    </row>
    <row r="119" spans="1:6" s="7" customFormat="1" ht="11.25" customHeight="1">
      <c r="A119" s="109" t="s">
        <v>287</v>
      </c>
      <c r="B119" s="134">
        <v>0</v>
      </c>
      <c r="C119" s="134">
        <v>0</v>
      </c>
      <c r="D119" s="134">
        <v>0</v>
      </c>
      <c r="E119" s="134">
        <v>0</v>
      </c>
      <c r="F119" s="151">
        <v>0</v>
      </c>
    </row>
    <row r="120" spans="1:6" s="7" customFormat="1" ht="11.25" customHeight="1">
      <c r="A120" s="136" t="s">
        <v>288</v>
      </c>
      <c r="B120" s="134">
        <v>0</v>
      </c>
      <c r="C120" s="134">
        <v>0</v>
      </c>
      <c r="D120" s="134">
        <v>0</v>
      </c>
      <c r="E120" s="134">
        <v>0</v>
      </c>
      <c r="F120" s="151">
        <v>0</v>
      </c>
    </row>
    <row r="121" spans="1:9" s="7" customFormat="1" ht="13.5" customHeight="1">
      <c r="A121" s="136" t="s">
        <v>289</v>
      </c>
      <c r="B121" s="153">
        <f>B111+B114+B117+B118+B119+B120</f>
        <v>15223000</v>
      </c>
      <c r="C121" s="153">
        <f>C111+C114+C117+C118+C119+C120</f>
        <v>15561024.96</v>
      </c>
      <c r="D121" s="153">
        <f>D111+D114+D117+D118+D119+D120</f>
        <v>1982074.3299999998</v>
      </c>
      <c r="E121" s="154">
        <f>E111+E114+E117+E118+E119+E120</f>
        <v>6295169.32</v>
      </c>
      <c r="F121" s="145">
        <f t="shared" si="4"/>
        <v>40.454721563533816</v>
      </c>
      <c r="G121" s="157"/>
      <c r="I121" s="158"/>
    </row>
    <row r="122" spans="1:6" s="7" customFormat="1" ht="11.25" customHeight="1">
      <c r="A122" s="229"/>
      <c r="B122" s="230"/>
      <c r="C122" s="230"/>
      <c r="D122" s="231"/>
      <c r="E122" s="230"/>
      <c r="F122" s="229"/>
    </row>
    <row r="123" spans="1:6" s="7" customFormat="1" ht="11.25" customHeight="1">
      <c r="A123" s="229" t="s">
        <v>290</v>
      </c>
      <c r="B123" s="229"/>
      <c r="C123" s="229"/>
      <c r="D123" s="232"/>
      <c r="E123" s="233" t="s">
        <v>267</v>
      </c>
      <c r="F123" s="233"/>
    </row>
    <row r="124" spans="1:6" s="7" customFormat="1" ht="11.25" customHeight="1">
      <c r="A124" s="234"/>
      <c r="B124" s="234"/>
      <c r="C124" s="234"/>
      <c r="D124" s="235"/>
      <c r="E124" s="236"/>
      <c r="F124" s="236"/>
    </row>
    <row r="125" spans="1:6" s="7" customFormat="1" ht="11.25" customHeight="1">
      <c r="A125" s="210" t="s">
        <v>291</v>
      </c>
      <c r="B125" s="237"/>
      <c r="C125" s="237"/>
      <c r="D125" s="238"/>
      <c r="E125" s="239">
        <f>E82</f>
        <v>1943367.6400000006</v>
      </c>
      <c r="F125" s="240"/>
    </row>
    <row r="126" spans="1:6" s="7" customFormat="1" ht="11.25" customHeight="1">
      <c r="A126" s="210" t="s">
        <v>292</v>
      </c>
      <c r="B126" s="237"/>
      <c r="C126" s="237"/>
      <c r="D126" s="238"/>
      <c r="E126" s="241">
        <v>0</v>
      </c>
      <c r="F126" s="242"/>
    </row>
    <row r="127" spans="1:6" s="7" customFormat="1" ht="11.25" customHeight="1">
      <c r="A127" s="210" t="s">
        <v>293</v>
      </c>
      <c r="B127" s="237"/>
      <c r="C127" s="237"/>
      <c r="D127" s="238"/>
      <c r="E127" s="241">
        <f>E154</f>
        <v>44335.73</v>
      </c>
      <c r="F127" s="242"/>
    </row>
    <row r="128" spans="1:6" s="7" customFormat="1" ht="11.25" customHeight="1">
      <c r="A128" s="243" t="s">
        <v>294</v>
      </c>
      <c r="B128" s="237"/>
      <c r="C128" s="237"/>
      <c r="D128" s="238"/>
      <c r="E128" s="241">
        <f>E102</f>
        <v>133247.47</v>
      </c>
      <c r="F128" s="242"/>
    </row>
    <row r="129" spans="1:6" s="7" customFormat="1" ht="11.25" customHeight="1">
      <c r="A129" s="243" t="s">
        <v>295</v>
      </c>
      <c r="B129" s="237"/>
      <c r="C129" s="237"/>
      <c r="D129" s="238"/>
      <c r="E129" s="241">
        <v>103800.67</v>
      </c>
      <c r="F129" s="242"/>
    </row>
    <row r="130" spans="1:6" s="7" customFormat="1" ht="11.25" customHeight="1">
      <c r="A130" s="210" t="s">
        <v>296</v>
      </c>
      <c r="B130" s="237"/>
      <c r="C130" s="237"/>
      <c r="D130" s="238"/>
      <c r="E130" s="241">
        <v>0</v>
      </c>
      <c r="F130" s="242"/>
    </row>
    <row r="131" spans="1:6" s="7" customFormat="1" ht="22.5" customHeight="1">
      <c r="A131" s="210" t="s">
        <v>297</v>
      </c>
      <c r="B131" s="237"/>
      <c r="C131" s="237"/>
      <c r="D131" s="238"/>
      <c r="E131" s="244">
        <f>D147</f>
        <v>0</v>
      </c>
      <c r="F131" s="245"/>
    </row>
    <row r="132" spans="1:6" s="7" customFormat="1" ht="11.25" customHeight="1">
      <c r="A132" s="213" t="s">
        <v>298</v>
      </c>
      <c r="B132" s="246"/>
      <c r="C132" s="246"/>
      <c r="D132" s="247"/>
      <c r="E132" s="224">
        <f>SUM(E125:F131)</f>
        <v>2224751.5100000007</v>
      </c>
      <c r="F132" s="248"/>
    </row>
    <row r="133" spans="1:6" s="7" customFormat="1" ht="11.25" customHeight="1">
      <c r="A133" s="213" t="s">
        <v>299</v>
      </c>
      <c r="B133" s="246"/>
      <c r="C133" s="246"/>
      <c r="D133" s="247"/>
      <c r="E133" s="224">
        <f>E111+E114-E132</f>
        <v>4070417.8099999996</v>
      </c>
      <c r="F133" s="248"/>
    </row>
    <row r="134" spans="1:6" s="7" customFormat="1" ht="14.25" customHeight="1">
      <c r="A134" s="249" t="s">
        <v>300</v>
      </c>
      <c r="B134" s="250"/>
      <c r="C134" s="250"/>
      <c r="D134" s="251"/>
      <c r="E134" s="252">
        <f>E133/E52*100</f>
        <v>24.198088881183097</v>
      </c>
      <c r="F134" s="253"/>
    </row>
    <row r="135" spans="1:6" s="7" customFormat="1" ht="33" customHeight="1">
      <c r="A135" s="171" t="s">
        <v>301</v>
      </c>
      <c r="B135" s="172"/>
      <c r="C135" s="172"/>
      <c r="D135" s="172"/>
      <c r="E135" s="172"/>
      <c r="F135" s="172"/>
    </row>
    <row r="136" spans="1:6" s="7" customFormat="1" ht="11.25" customHeight="1">
      <c r="A136" s="75"/>
      <c r="B136" s="20" t="s">
        <v>135</v>
      </c>
      <c r="C136" s="20" t="s">
        <v>135</v>
      </c>
      <c r="D136" s="122" t="s">
        <v>0</v>
      </c>
      <c r="E136" s="155"/>
      <c r="F136" s="155"/>
    </row>
    <row r="137" spans="1:6" s="7" customFormat="1" ht="11.25" customHeight="1">
      <c r="A137" s="26" t="s">
        <v>302</v>
      </c>
      <c r="B137" s="21" t="s">
        <v>125</v>
      </c>
      <c r="C137" s="21" t="s">
        <v>126</v>
      </c>
      <c r="D137" s="20" t="s">
        <v>127</v>
      </c>
      <c r="E137" s="20" t="s">
        <v>129</v>
      </c>
      <c r="F137" s="30" t="s">
        <v>128</v>
      </c>
    </row>
    <row r="138" spans="1:6" s="7" customFormat="1" ht="11.25" customHeight="1">
      <c r="A138" s="17"/>
      <c r="B138" s="22"/>
      <c r="C138" s="23" t="s">
        <v>2</v>
      </c>
      <c r="D138" s="22"/>
      <c r="E138" s="23" t="s">
        <v>3</v>
      </c>
      <c r="F138" s="19" t="s">
        <v>258</v>
      </c>
    </row>
    <row r="139" spans="1:6" s="7" customFormat="1" ht="22.5" customHeight="1">
      <c r="A139" s="159" t="s">
        <v>303</v>
      </c>
      <c r="B139" s="113">
        <v>0</v>
      </c>
      <c r="C139" s="66">
        <v>0</v>
      </c>
      <c r="D139" s="113">
        <v>0</v>
      </c>
      <c r="E139" s="160">
        <v>0</v>
      </c>
      <c r="F139" s="66">
        <v>0</v>
      </c>
    </row>
    <row r="140" spans="1:6" s="7" customFormat="1" ht="11.25" customHeight="1">
      <c r="A140" s="159" t="s">
        <v>304</v>
      </c>
      <c r="B140" s="67">
        <v>660600</v>
      </c>
      <c r="C140" s="66">
        <v>660600</v>
      </c>
      <c r="D140" s="67">
        <v>15348.59</v>
      </c>
      <c r="E140" s="160">
        <v>86635.68</v>
      </c>
      <c r="F140" s="48">
        <f>E140/C140*100</f>
        <v>13.114695731153494</v>
      </c>
    </row>
    <row r="141" spans="1:6" s="7" customFormat="1" ht="11.25" customHeight="1">
      <c r="A141" s="159" t="s">
        <v>305</v>
      </c>
      <c r="B141" s="67">
        <v>0</v>
      </c>
      <c r="C141" s="66">
        <v>0</v>
      </c>
      <c r="D141" s="67">
        <v>0</v>
      </c>
      <c r="E141" s="66">
        <v>0</v>
      </c>
      <c r="F141" s="48">
        <v>0</v>
      </c>
    </row>
    <row r="142" spans="1:6" s="7" customFormat="1" ht="11.25">
      <c r="A142" s="161" t="s">
        <v>306</v>
      </c>
      <c r="B142" s="162">
        <f>1816100+360000+454000+8000+151000</f>
        <v>2789100</v>
      </c>
      <c r="C142" s="66">
        <f>1901996.5+543659+454000+8000+204700</f>
        <v>3112355.5</v>
      </c>
      <c r="D142" s="162">
        <f>138226.61+111285.27+82669.16+11192.9</f>
        <v>343373.94000000006</v>
      </c>
      <c r="E142" s="160">
        <f>411163.91+197360.22+176841.04+12967.9</f>
        <v>798333.0700000001</v>
      </c>
      <c r="F142" s="48">
        <f>E142/C142*100</f>
        <v>25.650446101031843</v>
      </c>
    </row>
    <row r="143" spans="1:11" s="7" customFormat="1" ht="22.5">
      <c r="A143" s="163" t="s">
        <v>307</v>
      </c>
      <c r="B143" s="164">
        <f>SUM(B139:B142)</f>
        <v>3449700</v>
      </c>
      <c r="C143" s="164">
        <f>SUM(C139:C142)</f>
        <v>3772955.5</v>
      </c>
      <c r="D143" s="164">
        <f>SUM(D139:D142)</f>
        <v>358722.5300000001</v>
      </c>
      <c r="E143" s="164">
        <f>SUM(E139:E142)</f>
        <v>884968.75</v>
      </c>
      <c r="F143" s="49">
        <f>E143/C143*100</f>
        <v>23.455584090509415</v>
      </c>
      <c r="G143" s="61"/>
      <c r="H143" s="61"/>
      <c r="I143" s="61"/>
      <c r="J143" s="61"/>
      <c r="K143" s="61"/>
    </row>
    <row r="144" spans="1:6" s="7" customFormat="1" ht="11.25" customHeight="1">
      <c r="A144" s="254" t="s">
        <v>308</v>
      </c>
      <c r="B144" s="257" t="s">
        <v>309</v>
      </c>
      <c r="C144" s="258"/>
      <c r="D144" s="257"/>
      <c r="E144" s="259"/>
      <c r="F144" s="259"/>
    </row>
    <row r="145" spans="1:6" s="7" customFormat="1" ht="11.25" customHeight="1">
      <c r="A145" s="255"/>
      <c r="B145" s="260" t="s">
        <v>310</v>
      </c>
      <c r="C145" s="261"/>
      <c r="D145" s="260" t="s">
        <v>311</v>
      </c>
      <c r="E145" s="199"/>
      <c r="F145" s="199"/>
    </row>
    <row r="146" spans="1:6" s="7" customFormat="1" ht="11.25" customHeight="1">
      <c r="A146" s="256"/>
      <c r="B146" s="262" t="s">
        <v>309</v>
      </c>
      <c r="C146" s="263"/>
      <c r="D146" s="262"/>
      <c r="E146" s="264"/>
      <c r="F146" s="264"/>
    </row>
    <row r="147" spans="1:6" s="7" customFormat="1" ht="19.5" customHeight="1">
      <c r="A147" s="6" t="s">
        <v>312</v>
      </c>
      <c r="B147" s="265">
        <v>0</v>
      </c>
      <c r="C147" s="266"/>
      <c r="D147" s="267">
        <v>0</v>
      </c>
      <c r="E147" s="268"/>
      <c r="F147" s="268"/>
    </row>
    <row r="148" spans="1:6" s="7" customFormat="1" ht="11.25" customHeight="1">
      <c r="A148" s="165"/>
      <c r="B148" s="9"/>
      <c r="C148" s="9"/>
      <c r="D148" s="9"/>
      <c r="E148" s="9"/>
      <c r="F148" s="9"/>
    </row>
    <row r="149" spans="1:6" s="7" customFormat="1" ht="11.25" customHeight="1">
      <c r="A149" s="269" t="s">
        <v>313</v>
      </c>
      <c r="B149" s="269"/>
      <c r="C149" s="269"/>
      <c r="D149" s="270"/>
      <c r="E149" s="273" t="s">
        <v>267</v>
      </c>
      <c r="F149" s="274"/>
    </row>
    <row r="150" spans="1:6" s="7" customFormat="1" ht="22.5" customHeight="1">
      <c r="A150" s="271"/>
      <c r="B150" s="271"/>
      <c r="C150" s="271"/>
      <c r="D150" s="272"/>
      <c r="E150" s="166" t="s">
        <v>314</v>
      </c>
      <c r="F150" s="79" t="s">
        <v>315</v>
      </c>
    </row>
    <row r="151" spans="1:8" s="7" customFormat="1" ht="11.25" customHeight="1">
      <c r="A151" s="140" t="s">
        <v>316</v>
      </c>
      <c r="B151" s="275"/>
      <c r="C151" s="275"/>
      <c r="D151" s="275"/>
      <c r="E151" s="113">
        <f>266830.96+3441.38</f>
        <v>270272.34</v>
      </c>
      <c r="F151" s="47">
        <v>0</v>
      </c>
      <c r="H151" s="61"/>
    </row>
    <row r="152" spans="1:8" s="7" customFormat="1" ht="11.25" customHeight="1">
      <c r="A152" s="140" t="s">
        <v>317</v>
      </c>
      <c r="B152" s="242"/>
      <c r="C152" s="242"/>
      <c r="D152" s="242"/>
      <c r="E152" s="67">
        <f>E79</f>
        <v>5096734.63</v>
      </c>
      <c r="F152" s="48">
        <v>0</v>
      </c>
      <c r="H152" s="61"/>
    </row>
    <row r="153" spans="1:8" s="7" customFormat="1" ht="11.25" customHeight="1">
      <c r="A153" s="140" t="s">
        <v>318</v>
      </c>
      <c r="B153" s="242"/>
      <c r="C153" s="242"/>
      <c r="D153" s="242"/>
      <c r="E153" s="67">
        <f>E151+E152+E154-E155</f>
        <v>4037694.2300000004</v>
      </c>
      <c r="F153" s="48">
        <v>0</v>
      </c>
      <c r="G153" s="61"/>
      <c r="H153" s="61"/>
    </row>
    <row r="154" spans="1:10" s="7" customFormat="1" ht="11.25" customHeight="1">
      <c r="A154" s="140" t="s">
        <v>319</v>
      </c>
      <c r="B154" s="242"/>
      <c r="C154" s="242"/>
      <c r="D154" s="242"/>
      <c r="E154" s="67">
        <f>E81</f>
        <v>44335.73</v>
      </c>
      <c r="F154" s="48">
        <v>0</v>
      </c>
      <c r="H154" s="61"/>
      <c r="I154" s="61"/>
      <c r="J154" s="61"/>
    </row>
    <row r="155" spans="1:9" s="7" customFormat="1" ht="11.25" customHeight="1">
      <c r="A155" s="167" t="s">
        <v>320</v>
      </c>
      <c r="B155" s="245"/>
      <c r="C155" s="245"/>
      <c r="D155" s="245"/>
      <c r="E155" s="162">
        <f>1055422.03+318226.44</f>
        <v>1373648.47</v>
      </c>
      <c r="F155" s="168">
        <v>0</v>
      </c>
      <c r="G155" s="61"/>
      <c r="H155" s="61"/>
      <c r="I155" s="61"/>
    </row>
    <row r="156" spans="1:9" s="7" customFormat="1" ht="11.25" customHeight="1">
      <c r="A156" s="7" t="s">
        <v>7</v>
      </c>
      <c r="I156" s="61"/>
    </row>
    <row r="157" spans="1:6" s="7" customFormat="1" ht="11.25" customHeight="1">
      <c r="A157" s="276" t="s">
        <v>321</v>
      </c>
      <c r="B157" s="277"/>
      <c r="C157" s="277"/>
      <c r="D157" s="277"/>
      <c r="E157" s="277"/>
      <c r="F157" s="277"/>
    </row>
    <row r="158" spans="1:6" s="7" customFormat="1" ht="22.5" customHeight="1">
      <c r="A158" s="278" t="s">
        <v>322</v>
      </c>
      <c r="B158" s="277"/>
      <c r="C158" s="277"/>
      <c r="D158" s="277"/>
      <c r="E158" s="277"/>
      <c r="F158" s="277"/>
    </row>
    <row r="159" spans="1:6" s="7" customFormat="1" ht="11.25" customHeight="1">
      <c r="A159" s="276" t="s">
        <v>323</v>
      </c>
      <c r="B159" s="279"/>
      <c r="C159" s="279"/>
      <c r="D159" s="279"/>
      <c r="E159" s="279"/>
      <c r="F159" s="279"/>
    </row>
    <row r="160" spans="1:6" s="7" customFormat="1" ht="11.25" customHeight="1">
      <c r="A160" s="276" t="s">
        <v>324</v>
      </c>
      <c r="B160" s="279"/>
      <c r="C160" s="279"/>
      <c r="D160" s="279"/>
      <c r="E160" s="279"/>
      <c r="F160" s="279"/>
    </row>
    <row r="161" spans="1:6" s="7" customFormat="1" ht="11.25" customHeight="1">
      <c r="A161" s="276" t="s">
        <v>325</v>
      </c>
      <c r="B161" s="279"/>
      <c r="C161" s="279"/>
      <c r="D161" s="279"/>
      <c r="E161" s="279"/>
      <c r="F161" s="279"/>
    </row>
    <row r="162" spans="1:6" s="7" customFormat="1" ht="11.25" customHeight="1">
      <c r="A162" s="106"/>
      <c r="B162" s="169"/>
      <c r="C162" s="169"/>
      <c r="D162" s="169"/>
      <c r="E162" s="169"/>
      <c r="F162" s="169"/>
    </row>
    <row r="163" spans="1:6" s="7" customFormat="1" ht="11.25" customHeight="1">
      <c r="A163" s="280"/>
      <c r="B163" s="280"/>
      <c r="C163" s="280"/>
      <c r="D163" s="280"/>
      <c r="E163" s="106"/>
      <c r="F163" s="106"/>
    </row>
    <row r="164" spans="1:6" ht="11.25" customHeight="1">
      <c r="A164" s="280"/>
      <c r="B164" s="280"/>
      <c r="C164" s="280"/>
      <c r="D164" s="280"/>
      <c r="E164" s="106"/>
      <c r="F164" s="106"/>
    </row>
    <row r="166" spans="1:6" ht="11.25" customHeight="1">
      <c r="A166" s="63" t="s">
        <v>136</v>
      </c>
      <c r="C166" s="65"/>
      <c r="D166" s="65"/>
      <c r="E166" s="65" t="s">
        <v>137</v>
      </c>
      <c r="F166" s="65"/>
    </row>
    <row r="167" spans="1:6" ht="11.25" customHeight="1">
      <c r="A167" s="18" t="s">
        <v>326</v>
      </c>
      <c r="C167" s="4"/>
      <c r="D167" s="199" t="s">
        <v>138</v>
      </c>
      <c r="E167" s="199"/>
      <c r="F167" s="199"/>
    </row>
  </sheetData>
  <mergeCells count="79">
    <mergeCell ref="D167:F167"/>
    <mergeCell ref="A160:F160"/>
    <mergeCell ref="A161:F161"/>
    <mergeCell ref="A163:D163"/>
    <mergeCell ref="A164:D164"/>
    <mergeCell ref="B155:D155"/>
    <mergeCell ref="A157:F157"/>
    <mergeCell ref="A158:F158"/>
    <mergeCell ref="A159:F159"/>
    <mergeCell ref="B151:D151"/>
    <mergeCell ref="B152:D152"/>
    <mergeCell ref="B153:D153"/>
    <mergeCell ref="B154:D154"/>
    <mergeCell ref="B147:C147"/>
    <mergeCell ref="D147:F147"/>
    <mergeCell ref="A149:D150"/>
    <mergeCell ref="E149:F149"/>
    <mergeCell ref="A135:F135"/>
    <mergeCell ref="D136:F136"/>
    <mergeCell ref="A144:A146"/>
    <mergeCell ref="B144:C144"/>
    <mergeCell ref="D144:F144"/>
    <mergeCell ref="B145:C145"/>
    <mergeCell ref="D145:F145"/>
    <mergeCell ref="B146:C146"/>
    <mergeCell ref="D146:F146"/>
    <mergeCell ref="A133:D133"/>
    <mergeCell ref="E133:F133"/>
    <mergeCell ref="A134:D134"/>
    <mergeCell ref="E134:F134"/>
    <mergeCell ref="A131:D131"/>
    <mergeCell ref="E131:F131"/>
    <mergeCell ref="A132:D132"/>
    <mergeCell ref="E132:F132"/>
    <mergeCell ref="A129:D129"/>
    <mergeCell ref="E129:F129"/>
    <mergeCell ref="A130:D130"/>
    <mergeCell ref="E130:F130"/>
    <mergeCell ref="A127:D127"/>
    <mergeCell ref="E127:F127"/>
    <mergeCell ref="A128:D128"/>
    <mergeCell ref="E128:F128"/>
    <mergeCell ref="A125:D125"/>
    <mergeCell ref="E125:F125"/>
    <mergeCell ref="A126:D126"/>
    <mergeCell ref="E126:F126"/>
    <mergeCell ref="A123:D123"/>
    <mergeCell ref="E123:F123"/>
    <mergeCell ref="A124:D124"/>
    <mergeCell ref="E124:F124"/>
    <mergeCell ref="A103:F103"/>
    <mergeCell ref="D104:F104"/>
    <mergeCell ref="D108:F108"/>
    <mergeCell ref="A122:D122"/>
    <mergeCell ref="E122:F122"/>
    <mergeCell ref="A101:D101"/>
    <mergeCell ref="E101:F101"/>
    <mergeCell ref="A102:D102"/>
    <mergeCell ref="E102:F102"/>
    <mergeCell ref="A98:E98"/>
    <mergeCell ref="A99:E99"/>
    <mergeCell ref="A100:D100"/>
    <mergeCell ref="E100:F100"/>
    <mergeCell ref="D85:F85"/>
    <mergeCell ref="A95:E95"/>
    <mergeCell ref="A96:E96"/>
    <mergeCell ref="A97:E97"/>
    <mergeCell ref="A67:F67"/>
    <mergeCell ref="D68:F68"/>
    <mergeCell ref="A83:F83"/>
    <mergeCell ref="A84:F84"/>
    <mergeCell ref="A5:F5"/>
    <mergeCell ref="A7:F7"/>
    <mergeCell ref="D8:F8"/>
    <mergeCell ref="D53:F53"/>
    <mergeCell ref="A1:F1"/>
    <mergeCell ref="A2:F2"/>
    <mergeCell ref="A3:F3"/>
    <mergeCell ref="A4:F4"/>
  </mergeCells>
  <printOptions/>
  <pageMargins left="0.2" right="0.21" top="0.41" bottom="0.39" header="0.22" footer="0.21"/>
  <pageSetup horizontalDpi="600" verticalDpi="600" orientation="portrait" paperSize="9" scale="75" r:id="rId1"/>
  <rowBreaks count="1" manualBreakCount="1">
    <brk id="8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19">
    <pageSetUpPr fitToPage="1"/>
  </sheetPr>
  <dimension ref="A1:G81"/>
  <sheetViews>
    <sheetView showGridLines="0" workbookViewId="0" topLeftCell="A1">
      <selection activeCell="A5" sqref="A5:F5"/>
    </sheetView>
  </sheetViews>
  <sheetFormatPr defaultColWidth="9.140625" defaultRowHeight="11.25" customHeight="1"/>
  <cols>
    <col min="1" max="1" width="65.140625" style="2" customWidth="1"/>
    <col min="2" max="2" width="9.00390625" style="2" customWidth="1"/>
    <col min="3" max="6" width="14.7109375" style="2" customWidth="1"/>
    <col min="7" max="7" width="10.00390625" style="2" bestFit="1" customWidth="1"/>
    <col min="8" max="16384" width="6.8515625" style="2" customWidth="1"/>
  </cols>
  <sheetData>
    <row r="1" spans="1:6" s="7" customFormat="1" ht="11.25" customHeight="1">
      <c r="A1" s="182" t="s">
        <v>25</v>
      </c>
      <c r="B1" s="182"/>
      <c r="C1" s="182"/>
      <c r="D1" s="182"/>
      <c r="E1" s="182"/>
      <c r="F1" s="182"/>
    </row>
    <row r="2" spans="1:6" s="7" customFormat="1" ht="11.25" customHeight="1">
      <c r="A2" s="182" t="s">
        <v>119</v>
      </c>
      <c r="B2" s="182"/>
      <c r="C2" s="182"/>
      <c r="D2" s="182"/>
      <c r="E2" s="182"/>
      <c r="F2" s="182"/>
    </row>
    <row r="3" spans="1:6" s="7" customFormat="1" ht="11.25" customHeight="1">
      <c r="A3" s="170" t="s">
        <v>82</v>
      </c>
      <c r="B3" s="170"/>
      <c r="C3" s="170"/>
      <c r="D3" s="170"/>
      <c r="E3" s="170"/>
      <c r="F3" s="170"/>
    </row>
    <row r="4" spans="1:6" s="7" customFormat="1" ht="11.25" customHeight="1">
      <c r="A4" s="182" t="s">
        <v>121</v>
      </c>
      <c r="B4" s="182"/>
      <c r="C4" s="182"/>
      <c r="D4" s="182"/>
      <c r="E4" s="182"/>
      <c r="F4" s="182"/>
    </row>
    <row r="5" spans="1:6" s="7" customFormat="1" ht="11.25" customHeight="1">
      <c r="A5" s="182" t="s">
        <v>26</v>
      </c>
      <c r="B5" s="182"/>
      <c r="C5" s="182"/>
      <c r="D5" s="182"/>
      <c r="E5" s="182"/>
      <c r="F5" s="182"/>
    </row>
    <row r="6" spans="1:6" ht="11.25" customHeight="1">
      <c r="A6" s="7"/>
      <c r="B6" s="7"/>
      <c r="C6" s="7"/>
      <c r="D6" s="7"/>
      <c r="E6" s="7"/>
      <c r="F6" s="7"/>
    </row>
    <row r="7" spans="1:6" ht="11.25" customHeight="1">
      <c r="A7" s="40" t="s">
        <v>74</v>
      </c>
      <c r="F7" s="1">
        <v>1</v>
      </c>
    </row>
    <row r="8" spans="1:6" ht="11.25" customHeight="1">
      <c r="A8" s="299"/>
      <c r="B8" s="299"/>
      <c r="C8" s="20" t="s">
        <v>122</v>
      </c>
      <c r="D8" s="20" t="s">
        <v>122</v>
      </c>
      <c r="E8" s="122" t="s">
        <v>123</v>
      </c>
      <c r="F8" s="155"/>
    </row>
    <row r="9" spans="1:6" ht="11.25" customHeight="1">
      <c r="A9" s="199" t="s">
        <v>124</v>
      </c>
      <c r="B9" s="199"/>
      <c r="C9" s="21" t="s">
        <v>125</v>
      </c>
      <c r="D9" s="21" t="s">
        <v>126</v>
      </c>
      <c r="E9" s="20" t="s">
        <v>92</v>
      </c>
      <c r="F9" s="30" t="s">
        <v>128</v>
      </c>
    </row>
    <row r="10" spans="1:6" ht="11.25" customHeight="1">
      <c r="A10" s="293"/>
      <c r="B10" s="293"/>
      <c r="C10" s="22"/>
      <c r="D10" s="13" t="s">
        <v>130</v>
      </c>
      <c r="E10" s="23" t="s">
        <v>131</v>
      </c>
      <c r="F10" s="19" t="s">
        <v>13</v>
      </c>
    </row>
    <row r="11" spans="1:7" ht="11.25" customHeight="1">
      <c r="A11" s="299" t="s">
        <v>75</v>
      </c>
      <c r="B11" s="300"/>
      <c r="C11" s="51">
        <f>SUM(C12:C16)</f>
        <v>38304200</v>
      </c>
      <c r="D11" s="51">
        <f>SUM(D12:D16)</f>
        <v>38304200</v>
      </c>
      <c r="E11" s="51">
        <f>SUM(E12:E16)</f>
        <v>16821236.71</v>
      </c>
      <c r="F11" s="54">
        <f>E11/D11*100</f>
        <v>43.914862364962595</v>
      </c>
      <c r="G11" s="18"/>
    </row>
    <row r="12" spans="1:6" ht="11.25" customHeight="1">
      <c r="A12" s="7" t="s">
        <v>21</v>
      </c>
      <c r="B12" s="32"/>
      <c r="C12" s="51">
        <v>2807000</v>
      </c>
      <c r="D12" s="54">
        <v>2807000</v>
      </c>
      <c r="E12" s="51">
        <v>966075.03</v>
      </c>
      <c r="F12" s="54">
        <f aca="true" t="shared" si="0" ref="F12:F21">E12/D12*100</f>
        <v>34.416638047737806</v>
      </c>
    </row>
    <row r="13" spans="1:6" ht="11.25" customHeight="1">
      <c r="A13" s="7" t="s">
        <v>76</v>
      </c>
      <c r="B13" s="32"/>
      <c r="C13" s="51">
        <f>14200-3000</f>
        <v>11200</v>
      </c>
      <c r="D13" s="54">
        <f>14200-3000</f>
        <v>11200</v>
      </c>
      <c r="E13" s="51">
        <v>3453.22</v>
      </c>
      <c r="F13" s="54">
        <f t="shared" si="0"/>
        <v>30.832321428571426</v>
      </c>
    </row>
    <row r="14" spans="1:6" ht="11.25" customHeight="1">
      <c r="A14" s="7" t="s">
        <v>134</v>
      </c>
      <c r="B14" s="32"/>
      <c r="C14" s="51">
        <f>396000-150000</f>
        <v>246000</v>
      </c>
      <c r="D14" s="54">
        <f>396000-150000</f>
        <v>246000</v>
      </c>
      <c r="E14" s="51">
        <v>62406.49</v>
      </c>
      <c r="F14" s="54">
        <f t="shared" si="0"/>
        <v>25.368491869918696</v>
      </c>
    </row>
    <row r="15" spans="1:6" ht="11.25" customHeight="1">
      <c r="A15" s="7" t="s">
        <v>77</v>
      </c>
      <c r="B15" s="32"/>
      <c r="C15" s="51">
        <f>64500-500-22000</f>
        <v>42000</v>
      </c>
      <c r="D15" s="54">
        <f>64500-500-22000</f>
        <v>42000</v>
      </c>
      <c r="E15" s="51">
        <v>13226.42</v>
      </c>
      <c r="F15" s="54">
        <f t="shared" si="0"/>
        <v>31.49147619047619</v>
      </c>
    </row>
    <row r="16" spans="1:6" ht="11.25" customHeight="1">
      <c r="A16" s="7" t="s">
        <v>23</v>
      </c>
      <c r="B16" s="32"/>
      <c r="C16" s="51">
        <f>13400000+18000+230000+13300000+1590000+6200000+460000</f>
        <v>35198000</v>
      </c>
      <c r="D16" s="54">
        <f>13400000+18000+230000+13300000+1590000+6200000+460000</f>
        <v>35198000</v>
      </c>
      <c r="E16" s="51">
        <v>15776075.55</v>
      </c>
      <c r="F16" s="54">
        <f t="shared" si="0"/>
        <v>44.82094309335758</v>
      </c>
    </row>
    <row r="17" spans="1:6" ht="11.25" customHeight="1">
      <c r="A17" s="294" t="s">
        <v>45</v>
      </c>
      <c r="B17" s="298"/>
      <c r="C17" s="51">
        <f>3348200+70000</f>
        <v>3418200</v>
      </c>
      <c r="D17" s="54">
        <f>3349500+82883.8</f>
        <v>3432383.8</v>
      </c>
      <c r="E17" s="54">
        <f>1725569.65+32448.95</f>
        <v>1758018.5999999999</v>
      </c>
      <c r="F17" s="54">
        <f t="shared" si="0"/>
        <v>51.2185904152094</v>
      </c>
    </row>
    <row r="18" spans="1:6" ht="11.25" customHeight="1">
      <c r="A18" s="277" t="s">
        <v>43</v>
      </c>
      <c r="B18" s="298"/>
      <c r="C18" s="51">
        <v>0</v>
      </c>
      <c r="D18" s="54">
        <v>0</v>
      </c>
      <c r="E18" s="54">
        <v>0</v>
      </c>
      <c r="F18" s="54">
        <v>0</v>
      </c>
    </row>
    <row r="19" spans="1:6" ht="11.25" customHeight="1">
      <c r="A19" s="7" t="s">
        <v>44</v>
      </c>
      <c r="B19" s="32"/>
      <c r="C19" s="51">
        <f>682100+1000000+6500+358700+30000+53962140-C16-C17+816660-C13-C14-C15+1266100</f>
        <v>19206800</v>
      </c>
      <c r="D19" s="54">
        <f>689116.06+1000000+6500+444475.87+30000+54394106.28-D16-D17+858317.07-D13-D14-D15+1955896</f>
        <v>20448827.48</v>
      </c>
      <c r="E19" s="54">
        <f>202341.87+546684.51+2398.86+260492.49+10977.64+24488313.48-E16-E17+263825.13-E13-E14-E15+689796</f>
        <v>8851649.700000001</v>
      </c>
      <c r="F19" s="54">
        <f t="shared" si="0"/>
        <v>43.286832502535255</v>
      </c>
    </row>
    <row r="20" spans="1:6" ht="11.25" customHeight="1">
      <c r="A20" s="7" t="s">
        <v>101</v>
      </c>
      <c r="B20" s="32"/>
      <c r="C20" s="51">
        <v>7039600</v>
      </c>
      <c r="D20" s="54">
        <v>7039600</v>
      </c>
      <c r="E20" s="56">
        <v>3153366.99</v>
      </c>
      <c r="F20" s="69">
        <f t="shared" si="0"/>
        <v>44.79468989715325</v>
      </c>
    </row>
    <row r="21" spans="1:7" ht="11.25" customHeight="1">
      <c r="A21" s="5" t="s">
        <v>8</v>
      </c>
      <c r="B21" s="35"/>
      <c r="C21" s="57">
        <f>C11+C17+C18+C19-C20</f>
        <v>53889600</v>
      </c>
      <c r="D21" s="57">
        <f>D11+D17+D18+D19-D20</f>
        <v>55145811.28</v>
      </c>
      <c r="E21" s="57">
        <f>E11+E17+E18+E19-E20</f>
        <v>24277538.020000003</v>
      </c>
      <c r="F21" s="68">
        <f t="shared" si="0"/>
        <v>44.02426486525343</v>
      </c>
      <c r="G21" s="18"/>
    </row>
    <row r="22" spans="1:6" ht="11.25" customHeight="1">
      <c r="A22" s="9"/>
      <c r="B22" s="9"/>
      <c r="C22" s="5"/>
      <c r="D22" s="5"/>
      <c r="E22" s="46">
        <f>E21-24277538.02</f>
        <v>0</v>
      </c>
      <c r="F22" s="5"/>
    </row>
    <row r="23" spans="1:6" ht="11.25" customHeight="1">
      <c r="A23" s="259" t="s">
        <v>28</v>
      </c>
      <c r="B23" s="259"/>
      <c r="C23" s="20" t="s">
        <v>135</v>
      </c>
      <c r="D23" s="20" t="s">
        <v>135</v>
      </c>
      <c r="E23" s="122" t="s">
        <v>0</v>
      </c>
      <c r="F23" s="155"/>
    </row>
    <row r="24" spans="1:6" ht="11.25" customHeight="1">
      <c r="A24" s="199" t="s">
        <v>29</v>
      </c>
      <c r="B24" s="199"/>
      <c r="C24" s="21" t="s">
        <v>125</v>
      </c>
      <c r="D24" s="21" t="s">
        <v>126</v>
      </c>
      <c r="E24" s="20" t="s">
        <v>92</v>
      </c>
      <c r="F24" s="30" t="s">
        <v>128</v>
      </c>
    </row>
    <row r="25" spans="1:6" ht="11.25" customHeight="1">
      <c r="A25" s="296"/>
      <c r="B25" s="297"/>
      <c r="C25" s="22"/>
      <c r="D25" s="13" t="s">
        <v>133</v>
      </c>
      <c r="E25" s="23" t="s">
        <v>2</v>
      </c>
      <c r="F25" s="19" t="s">
        <v>14</v>
      </c>
    </row>
    <row r="26" spans="1:7" ht="11.25" customHeight="1">
      <c r="A26" s="9" t="s">
        <v>5</v>
      </c>
      <c r="B26" s="9"/>
      <c r="C26" s="50">
        <f>SUM(C27:C29)</f>
        <v>10481200</v>
      </c>
      <c r="D26" s="50">
        <f>SUM(D27:D29)</f>
        <v>10914935.48</v>
      </c>
      <c r="E26" s="50">
        <f>SUM(E27:E29)</f>
        <v>4515904.8100000005</v>
      </c>
      <c r="F26" s="53">
        <f>SUM(F27:F29)</f>
        <v>82.80313271386908</v>
      </c>
      <c r="G26" s="18"/>
    </row>
    <row r="27" spans="1:7" ht="11.25" customHeight="1">
      <c r="A27" s="4" t="s">
        <v>11</v>
      </c>
      <c r="B27" s="7"/>
      <c r="C27" s="51">
        <v>5431600</v>
      </c>
      <c r="D27" s="48">
        <v>5431600</v>
      </c>
      <c r="E27" s="67">
        <v>2568922.4</v>
      </c>
      <c r="F27" s="66">
        <f>E27/D27*100</f>
        <v>47.29586862066426</v>
      </c>
      <c r="G27" s="18"/>
    </row>
    <row r="28" spans="1:7" ht="11.25" customHeight="1">
      <c r="A28" s="4" t="s">
        <v>30</v>
      </c>
      <c r="B28" s="4"/>
      <c r="C28" s="51">
        <v>0</v>
      </c>
      <c r="D28" s="48">
        <v>0</v>
      </c>
      <c r="E28" s="67">
        <v>0</v>
      </c>
      <c r="F28" s="66">
        <v>0</v>
      </c>
      <c r="G28" s="18"/>
    </row>
    <row r="29" spans="1:7" ht="11.25" customHeight="1">
      <c r="A29" s="4" t="s">
        <v>12</v>
      </c>
      <c r="B29" s="7"/>
      <c r="C29" s="51">
        <f>5055600-6000</f>
        <v>5049600</v>
      </c>
      <c r="D29" s="48">
        <f>5466835.48-6500+23000</f>
        <v>5483335.48</v>
      </c>
      <c r="E29" s="67">
        <f>1924946.79-964.38+23000</f>
        <v>1946982.4100000001</v>
      </c>
      <c r="F29" s="66">
        <f>E29/D29*100</f>
        <v>35.50726409320482</v>
      </c>
      <c r="G29" s="18"/>
    </row>
    <row r="30" spans="1:7" ht="11.25" customHeight="1">
      <c r="A30" s="4" t="s">
        <v>6</v>
      </c>
      <c r="B30" s="7"/>
      <c r="C30" s="51">
        <f>SUM(C31:C33)</f>
        <v>395000</v>
      </c>
      <c r="D30" s="51">
        <f>SUM(D31:D33)</f>
        <v>878987.5399999999</v>
      </c>
      <c r="E30" s="67">
        <f>SUM(E31:E33)</f>
        <v>48354.299999999996</v>
      </c>
      <c r="F30" s="54">
        <f>SUM(F31:F33)</f>
        <v>5.501136000175839</v>
      </c>
      <c r="G30" s="18"/>
    </row>
    <row r="31" spans="1:7" ht="11.25" customHeight="1">
      <c r="A31" s="7" t="s">
        <v>31</v>
      </c>
      <c r="B31" s="7"/>
      <c r="C31" s="67">
        <f>495000-50000-50000</f>
        <v>395000</v>
      </c>
      <c r="D31" s="48">
        <f>1030456.09-50000-123468.55+22000</f>
        <v>878987.5399999999</v>
      </c>
      <c r="E31" s="67">
        <f>82582.79-56228.49+22000</f>
        <v>48354.299999999996</v>
      </c>
      <c r="F31" s="66">
        <f>E31/D31*100</f>
        <v>5.501136000175839</v>
      </c>
      <c r="G31" s="18"/>
    </row>
    <row r="32" spans="1:7" ht="11.25" customHeight="1">
      <c r="A32" s="7" t="s">
        <v>32</v>
      </c>
      <c r="B32" s="7"/>
      <c r="C32" s="67">
        <v>0</v>
      </c>
      <c r="D32" s="48">
        <v>0</v>
      </c>
      <c r="E32" s="67">
        <v>0</v>
      </c>
      <c r="F32" s="66">
        <v>0</v>
      </c>
      <c r="G32" s="18"/>
    </row>
    <row r="33" spans="1:7" ht="11.25" customHeight="1">
      <c r="A33" s="7" t="s">
        <v>33</v>
      </c>
      <c r="B33" s="7"/>
      <c r="C33" s="67">
        <v>0</v>
      </c>
      <c r="D33" s="48">
        <v>0</v>
      </c>
      <c r="E33" s="67">
        <v>0</v>
      </c>
      <c r="F33" s="66">
        <v>0</v>
      </c>
      <c r="G33" s="18"/>
    </row>
    <row r="34" spans="1:7" ht="11.25" customHeight="1">
      <c r="A34" s="5" t="s">
        <v>46</v>
      </c>
      <c r="B34" s="5"/>
      <c r="C34" s="52">
        <f>C26+C30</f>
        <v>10876200</v>
      </c>
      <c r="D34" s="52">
        <f>D26+D30</f>
        <v>11793923.02</v>
      </c>
      <c r="E34" s="52">
        <f>E26+E30</f>
        <v>4564259.11</v>
      </c>
      <c r="F34" s="45">
        <f>F26+F30</f>
        <v>88.30426871404491</v>
      </c>
      <c r="G34" s="18"/>
    </row>
    <row r="35" spans="1:7" ht="11.25" customHeight="1">
      <c r="A35" s="303"/>
      <c r="B35" s="303"/>
      <c r="C35" s="303"/>
      <c r="D35" s="4"/>
      <c r="E35" s="4"/>
      <c r="F35" s="4"/>
      <c r="G35" s="18"/>
    </row>
    <row r="36" spans="1:6" ht="11.25" customHeight="1">
      <c r="A36" s="9"/>
      <c r="B36" s="9"/>
      <c r="C36" s="20" t="s">
        <v>135</v>
      </c>
      <c r="D36" s="20" t="s">
        <v>135</v>
      </c>
      <c r="E36" s="122" t="s">
        <v>0</v>
      </c>
      <c r="F36" s="155"/>
    </row>
    <row r="37" spans="1:6" ht="11.25" customHeight="1">
      <c r="A37" s="199" t="s">
        <v>93</v>
      </c>
      <c r="B37" s="261"/>
      <c r="C37" s="21" t="s">
        <v>125</v>
      </c>
      <c r="D37" s="21" t="s">
        <v>126</v>
      </c>
      <c r="E37" s="20" t="s">
        <v>92</v>
      </c>
      <c r="F37" s="30" t="s">
        <v>128</v>
      </c>
    </row>
    <row r="38" spans="1:6" ht="11.25" customHeight="1">
      <c r="A38" s="12"/>
      <c r="B38" s="12"/>
      <c r="C38" s="16"/>
      <c r="D38" s="16"/>
      <c r="E38" s="23" t="s">
        <v>3</v>
      </c>
      <c r="F38" s="19" t="s">
        <v>15</v>
      </c>
    </row>
    <row r="39" spans="1:6" ht="11.25" customHeight="1">
      <c r="A39" s="4" t="s">
        <v>17</v>
      </c>
      <c r="B39" s="4"/>
      <c r="C39" s="47">
        <f>C34</f>
        <v>10876200</v>
      </c>
      <c r="D39" s="47">
        <f>D34</f>
        <v>11793923.02</v>
      </c>
      <c r="E39" s="47">
        <f>E34</f>
        <v>4564259.11</v>
      </c>
      <c r="F39" s="47">
        <f>F34</f>
        <v>88.30426871404491</v>
      </c>
    </row>
    <row r="40" spans="1:6" s="27" customFormat="1" ht="11.25" customHeight="1">
      <c r="A40" s="4" t="s">
        <v>35</v>
      </c>
      <c r="B40" s="4"/>
      <c r="C40" s="48">
        <v>0</v>
      </c>
      <c r="D40" s="48">
        <v>0</v>
      </c>
      <c r="E40" s="48">
        <v>0</v>
      </c>
      <c r="F40" s="48">
        <v>0</v>
      </c>
    </row>
    <row r="41" spans="1:6" s="27" customFormat="1" ht="11.25" customHeight="1">
      <c r="A41" s="4" t="s">
        <v>95</v>
      </c>
      <c r="B41" s="4"/>
      <c r="C41" s="48">
        <f>SUM(C42:C44)</f>
        <v>3464200</v>
      </c>
      <c r="D41" s="48">
        <f>SUM(D42:D44)</f>
        <v>3580235.48</v>
      </c>
      <c r="E41" s="48">
        <f>SUM(E42:E44)</f>
        <v>1309059.7699999998</v>
      </c>
      <c r="F41" s="48">
        <f>SUM(F42:F44)</f>
        <v>27.694741677362828</v>
      </c>
    </row>
    <row r="42" spans="1:7" s="27" customFormat="1" ht="11.25" customHeight="1">
      <c r="A42" s="4" t="s">
        <v>96</v>
      </c>
      <c r="B42" s="4"/>
      <c r="C42" s="48">
        <f>25000+341600+383000+495000+100000+65000+1470000+180000+80000+12600+3500+92500+140000+70000</f>
        <v>3458200</v>
      </c>
      <c r="D42" s="67">
        <f>25000+341600+383000+495000+100000+65000+1486092.37+173907.63+70000+12600+7569.89+100000+199465.59+70000</f>
        <v>3529235.48</v>
      </c>
      <c r="E42" s="71">
        <f>9615.2+181000+68570.83+149001.77+7983.8+562211.9+71561.27+15090.89+58.5+2387+64571.41+132007.2</f>
        <v>1264059.7699999998</v>
      </c>
      <c r="F42" s="48">
        <f>E42/E39*100</f>
        <v>27.694741677362828</v>
      </c>
      <c r="G42" s="70"/>
    </row>
    <row r="43" spans="1:6" s="27" customFormat="1" ht="11.25" customHeight="1">
      <c r="A43" s="4" t="s">
        <v>98</v>
      </c>
      <c r="B43" s="4"/>
      <c r="C43" s="48">
        <v>0</v>
      </c>
      <c r="D43" s="48">
        <v>0</v>
      </c>
      <c r="E43" s="48">
        <v>0</v>
      </c>
      <c r="F43" s="48">
        <v>0</v>
      </c>
    </row>
    <row r="44" spans="1:6" s="27" customFormat="1" ht="11.25" customHeight="1">
      <c r="A44" s="4" t="s">
        <v>99</v>
      </c>
      <c r="B44" s="4"/>
      <c r="C44" s="48">
        <f>6000</f>
        <v>6000</v>
      </c>
      <c r="D44" s="48">
        <f>6000+45000</f>
        <v>51000</v>
      </c>
      <c r="E44" s="48">
        <v>45000</v>
      </c>
      <c r="F44" s="48">
        <v>0</v>
      </c>
    </row>
    <row r="45" spans="1:7" s="27" customFormat="1" ht="11.25" customHeight="1">
      <c r="A45" s="41" t="s">
        <v>9</v>
      </c>
      <c r="B45" s="4"/>
      <c r="C45" s="286" t="s">
        <v>97</v>
      </c>
      <c r="D45" s="286" t="s">
        <v>97</v>
      </c>
      <c r="E45" s="286">
        <v>0</v>
      </c>
      <c r="F45" s="289">
        <v>0</v>
      </c>
      <c r="G45" s="55"/>
    </row>
    <row r="46" spans="1:7" s="27" customFormat="1" ht="11.25" customHeight="1">
      <c r="A46" s="33" t="s">
        <v>10</v>
      </c>
      <c r="B46" s="12"/>
      <c r="C46" s="287"/>
      <c r="D46" s="288"/>
      <c r="E46" s="287"/>
      <c r="F46" s="290"/>
      <c r="G46" s="55"/>
    </row>
    <row r="47" spans="1:6" ht="11.25" customHeight="1">
      <c r="A47" s="5" t="s">
        <v>18</v>
      </c>
      <c r="B47" s="5"/>
      <c r="C47" s="49">
        <f>C39-C40-C41</f>
        <v>7412000</v>
      </c>
      <c r="D47" s="49">
        <f>D39-D40-D41</f>
        <v>8213687.539999999</v>
      </c>
      <c r="E47" s="49">
        <f>E39-E40-E41-E45</f>
        <v>3255199.340000001</v>
      </c>
      <c r="F47" s="49">
        <f>F39-F40-F41-F45</f>
        <v>60.60952703668208</v>
      </c>
    </row>
    <row r="48" spans="1:6" ht="11.25" customHeight="1">
      <c r="A48" s="9"/>
      <c r="B48" s="9"/>
      <c r="C48" s="9"/>
      <c r="D48" s="4"/>
      <c r="E48" s="4"/>
      <c r="F48" s="4"/>
    </row>
    <row r="49" spans="1:6" ht="11.25" customHeight="1">
      <c r="A49" s="30"/>
      <c r="B49" s="30"/>
      <c r="C49" s="257" t="s">
        <v>79</v>
      </c>
      <c r="D49" s="259"/>
      <c r="E49" s="259"/>
      <c r="F49" s="259"/>
    </row>
    <row r="50" spans="1:6" ht="11.25" customHeight="1">
      <c r="A50" s="18"/>
      <c r="B50" s="18"/>
      <c r="C50" s="262" t="s">
        <v>80</v>
      </c>
      <c r="D50" s="264"/>
      <c r="E50" s="264"/>
      <c r="F50" s="264"/>
    </row>
    <row r="51" spans="1:6" ht="11.25" customHeight="1">
      <c r="A51" s="199" t="s">
        <v>78</v>
      </c>
      <c r="B51" s="261"/>
      <c r="F51" s="11" t="s">
        <v>118</v>
      </c>
    </row>
    <row r="52" spans="1:6" ht="11.25" customHeight="1">
      <c r="A52" s="199" t="s">
        <v>117</v>
      </c>
      <c r="B52" s="261"/>
      <c r="C52" s="260" t="s">
        <v>81</v>
      </c>
      <c r="D52" s="199"/>
      <c r="E52" s="261"/>
      <c r="F52" s="11">
        <v>2009</v>
      </c>
    </row>
    <row r="53" spans="1:6" ht="11.25" customHeight="1">
      <c r="A53" s="199"/>
      <c r="B53" s="261"/>
      <c r="C53" s="260"/>
      <c r="D53" s="199"/>
      <c r="E53" s="261"/>
      <c r="F53" s="11" t="s">
        <v>24</v>
      </c>
    </row>
    <row r="54" spans="1:6" ht="11.25" customHeight="1">
      <c r="A54" s="5" t="s">
        <v>19</v>
      </c>
      <c r="B54" s="5"/>
      <c r="C54" s="281">
        <v>0</v>
      </c>
      <c r="D54" s="282"/>
      <c r="E54" s="283"/>
      <c r="F54" s="45">
        <v>0</v>
      </c>
    </row>
    <row r="55" spans="1:6" ht="11.25" customHeight="1">
      <c r="A55" s="4"/>
      <c r="B55" s="4"/>
      <c r="C55" s="4"/>
      <c r="D55" s="12"/>
      <c r="E55" s="12"/>
      <c r="F55" s="12"/>
    </row>
    <row r="56" spans="1:6" ht="11.25" customHeight="1">
      <c r="A56" s="301" t="s">
        <v>102</v>
      </c>
      <c r="B56" s="301"/>
      <c r="C56" s="301"/>
      <c r="D56" s="301"/>
      <c r="E56" s="302"/>
      <c r="F56" s="284">
        <f>((E47-F54)/E11)*100</f>
        <v>19.35172422884239</v>
      </c>
    </row>
    <row r="57" spans="1:6" ht="11.25" customHeight="1">
      <c r="A57" s="33" t="s">
        <v>20</v>
      </c>
      <c r="B57" s="33"/>
      <c r="C57" s="33"/>
      <c r="D57" s="33"/>
      <c r="E57" s="42"/>
      <c r="F57" s="285"/>
    </row>
    <row r="58" spans="1:6" ht="11.25" customHeight="1">
      <c r="A58" s="4"/>
      <c r="B58" s="4"/>
      <c r="C58" s="4"/>
      <c r="D58" s="4"/>
      <c r="E58" s="4"/>
      <c r="F58" s="4"/>
    </row>
    <row r="59" spans="1:6" ht="11.25" customHeight="1">
      <c r="A59" s="259" t="s">
        <v>28</v>
      </c>
      <c r="B59" s="259"/>
      <c r="C59" s="20" t="s">
        <v>135</v>
      </c>
      <c r="D59" s="20" t="s">
        <v>135</v>
      </c>
      <c r="E59" s="122" t="s">
        <v>0</v>
      </c>
      <c r="F59" s="155"/>
    </row>
    <row r="60" spans="1:6" ht="11.25" customHeight="1">
      <c r="A60" s="199" t="s">
        <v>36</v>
      </c>
      <c r="B60" s="199"/>
      <c r="C60" s="21" t="s">
        <v>125</v>
      </c>
      <c r="D60" s="21" t="s">
        <v>126</v>
      </c>
      <c r="E60" s="20" t="s">
        <v>92</v>
      </c>
      <c r="F60" s="30" t="s">
        <v>128</v>
      </c>
    </row>
    <row r="61" spans="1:6" ht="11.25" customHeight="1">
      <c r="A61" s="264"/>
      <c r="B61" s="264"/>
      <c r="C61" s="31"/>
      <c r="D61" s="23"/>
      <c r="E61" s="23" t="s">
        <v>4</v>
      </c>
      <c r="F61" s="19" t="s">
        <v>16</v>
      </c>
    </row>
    <row r="62" spans="1:6" ht="11.25" customHeight="1">
      <c r="A62" s="4" t="s">
        <v>37</v>
      </c>
      <c r="B62" s="4"/>
      <c r="C62" s="51">
        <v>7411600</v>
      </c>
      <c r="D62" s="51">
        <v>6832333.81</v>
      </c>
      <c r="E62" s="51">
        <v>2836656.07</v>
      </c>
      <c r="F62" s="54">
        <f>E62/E69*100</f>
        <v>62.14932153577932</v>
      </c>
    </row>
    <row r="63" spans="1:6" ht="11.25" customHeight="1">
      <c r="A63" s="4" t="s">
        <v>38</v>
      </c>
      <c r="B63" s="4"/>
      <c r="C63" s="51">
        <v>2057000</v>
      </c>
      <c r="D63" s="51">
        <v>3248431.89</v>
      </c>
      <c r="E63" s="51">
        <v>1056633.35</v>
      </c>
      <c r="F63" s="54">
        <f>E63/E69*100</f>
        <v>23.150161385119084</v>
      </c>
    </row>
    <row r="64" spans="1:6" ht="11.25" customHeight="1">
      <c r="A64" s="4" t="s">
        <v>39</v>
      </c>
      <c r="B64" s="4"/>
      <c r="C64" s="51">
        <v>0</v>
      </c>
      <c r="D64" s="51">
        <v>0</v>
      </c>
      <c r="E64" s="51">
        <v>0</v>
      </c>
      <c r="F64" s="54">
        <v>0</v>
      </c>
    </row>
    <row r="65" spans="1:6" ht="11.25" customHeight="1">
      <c r="A65" s="4" t="s">
        <v>40</v>
      </c>
      <c r="B65" s="4"/>
      <c r="C65" s="51">
        <v>18600</v>
      </c>
      <c r="D65" s="51">
        <v>18600</v>
      </c>
      <c r="E65" s="51">
        <v>58.5</v>
      </c>
      <c r="F65" s="54">
        <f>E65/E69*100</f>
        <v>0.0012816976115976903</v>
      </c>
    </row>
    <row r="66" spans="1:6" ht="11.25" customHeight="1">
      <c r="A66" s="4" t="s">
        <v>41</v>
      </c>
      <c r="B66" s="4"/>
      <c r="C66" s="51">
        <v>198300</v>
      </c>
      <c r="D66" s="51">
        <v>213369.78</v>
      </c>
      <c r="E66" s="51">
        <v>116922.56</v>
      </c>
      <c r="F66" s="54">
        <f>E66/E69*100</f>
        <v>2.5616985622886776</v>
      </c>
    </row>
    <row r="67" spans="1:6" ht="11.25" customHeight="1">
      <c r="A67" s="4" t="s">
        <v>42</v>
      </c>
      <c r="B67" s="4"/>
      <c r="C67" s="51">
        <v>0</v>
      </c>
      <c r="D67" s="51">
        <v>0</v>
      </c>
      <c r="E67" s="51">
        <v>0</v>
      </c>
      <c r="F67" s="54">
        <v>0</v>
      </c>
    </row>
    <row r="68" spans="1:6" ht="11.25" customHeight="1">
      <c r="A68" s="12" t="s">
        <v>22</v>
      </c>
      <c r="B68" s="12"/>
      <c r="C68" s="56">
        <v>1190700</v>
      </c>
      <c r="D68" s="56">
        <v>1481187.54</v>
      </c>
      <c r="E68" s="56">
        <v>553988.63</v>
      </c>
      <c r="F68" s="54">
        <f>E68/E69*100</f>
        <v>12.137536819201308</v>
      </c>
    </row>
    <row r="69" spans="1:6" ht="11.25" customHeight="1">
      <c r="A69" s="5" t="s">
        <v>8</v>
      </c>
      <c r="B69" s="15"/>
      <c r="C69" s="57">
        <f>SUM(C62:C68)</f>
        <v>10876200</v>
      </c>
      <c r="D69" s="57">
        <f>SUM(D62:D68)</f>
        <v>11793923.02</v>
      </c>
      <c r="E69" s="57">
        <f>SUM(E62:E68)</f>
        <v>4564259.11</v>
      </c>
      <c r="F69" s="57">
        <f>SUM(F62:F68)</f>
        <v>100</v>
      </c>
    </row>
    <row r="70" spans="1:6" ht="11.25" customHeight="1">
      <c r="A70" s="9" t="s">
        <v>140</v>
      </c>
      <c r="B70" s="9"/>
      <c r="C70" s="9"/>
      <c r="D70" s="72"/>
      <c r="E70" s="72"/>
      <c r="F70" s="9"/>
    </row>
    <row r="71" spans="1:6" ht="11.25" customHeight="1">
      <c r="A71" s="291" t="s">
        <v>141</v>
      </c>
      <c r="B71" s="292"/>
      <c r="C71" s="292"/>
      <c r="D71" s="292"/>
      <c r="E71" s="292"/>
      <c r="F71" s="292"/>
    </row>
    <row r="72" spans="1:6" ht="11.25" customHeight="1">
      <c r="A72" s="292"/>
      <c r="B72" s="292"/>
      <c r="C72" s="292"/>
      <c r="D72" s="292"/>
      <c r="E72" s="292"/>
      <c r="F72" s="292"/>
    </row>
    <row r="73" spans="1:6" ht="11.25" customHeight="1">
      <c r="A73" s="294" t="s">
        <v>90</v>
      </c>
      <c r="B73" s="295"/>
      <c r="C73" s="295"/>
      <c r="D73" s="295"/>
      <c r="E73" s="295"/>
      <c r="F73" s="295"/>
    </row>
    <row r="74" spans="1:6" ht="11.25" customHeight="1">
      <c r="A74" s="7" t="s">
        <v>91</v>
      </c>
      <c r="B74" s="34"/>
      <c r="C74" s="34"/>
      <c r="D74" s="73"/>
      <c r="E74" s="34"/>
      <c r="F74" s="34"/>
    </row>
    <row r="75" spans="3:5" ht="11.25" customHeight="1">
      <c r="C75" s="74"/>
      <c r="D75" s="74"/>
      <c r="E75" s="74"/>
    </row>
    <row r="76" spans="4:5" ht="11.25" customHeight="1">
      <c r="D76" s="74"/>
      <c r="E76" s="74"/>
    </row>
    <row r="80" spans="1:6" ht="11.25" customHeight="1">
      <c r="A80" s="63" t="s">
        <v>136</v>
      </c>
      <c r="B80" s="64"/>
      <c r="C80" s="65"/>
      <c r="D80" s="65"/>
      <c r="E80" s="65" t="s">
        <v>137</v>
      </c>
      <c r="F80" s="65"/>
    </row>
    <row r="81" spans="1:6" ht="11.25" customHeight="1">
      <c r="A81" s="18" t="s">
        <v>139</v>
      </c>
      <c r="B81" s="64"/>
      <c r="C81" s="4"/>
      <c r="D81" s="199" t="s">
        <v>138</v>
      </c>
      <c r="E81" s="199"/>
      <c r="F81" s="199"/>
    </row>
  </sheetData>
  <mergeCells count="40">
    <mergeCell ref="A23:B23"/>
    <mergeCell ref="A24:B24"/>
    <mergeCell ref="A56:E56"/>
    <mergeCell ref="A37:B37"/>
    <mergeCell ref="C50:F50"/>
    <mergeCell ref="A35:C35"/>
    <mergeCell ref="A51:B51"/>
    <mergeCell ref="A52:B52"/>
    <mergeCell ref="C52:E52"/>
    <mergeCell ref="C53:E53"/>
    <mergeCell ref="A60:B60"/>
    <mergeCell ref="A61:B61"/>
    <mergeCell ref="A1:F1"/>
    <mergeCell ref="A2:F2"/>
    <mergeCell ref="A3:F3"/>
    <mergeCell ref="A4:F4"/>
    <mergeCell ref="A5:F5"/>
    <mergeCell ref="E8:F8"/>
    <mergeCell ref="A8:B8"/>
    <mergeCell ref="A9:B9"/>
    <mergeCell ref="A10:B10"/>
    <mergeCell ref="E23:F23"/>
    <mergeCell ref="A73:F73"/>
    <mergeCell ref="A25:B25"/>
    <mergeCell ref="A17:B17"/>
    <mergeCell ref="A18:B18"/>
    <mergeCell ref="A11:B11"/>
    <mergeCell ref="E59:F59"/>
    <mergeCell ref="A59:B59"/>
    <mergeCell ref="E36:F36"/>
    <mergeCell ref="D81:F81"/>
    <mergeCell ref="C54:E54"/>
    <mergeCell ref="F56:F57"/>
    <mergeCell ref="C45:C46"/>
    <mergeCell ref="D45:D46"/>
    <mergeCell ref="E45:E46"/>
    <mergeCell ref="F45:F46"/>
    <mergeCell ref="A71:F72"/>
    <mergeCell ref="A53:B53"/>
    <mergeCell ref="C49:F49"/>
  </mergeCells>
  <printOptions horizontalCentered="1"/>
  <pageMargins left="0.33" right="0.3" top="0.19" bottom="0.59" header="0.17" footer="0.5118110236220472"/>
  <pageSetup fitToHeight="1" fitToWidth="1" horizontalDpi="300" verticalDpi="300" orientation="portrait" paperSize="9" scale="74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27"/>
  <dimension ref="A1:F65"/>
  <sheetViews>
    <sheetView showGridLines="0" workbookViewId="0" topLeftCell="A1">
      <selection activeCell="A34" sqref="A34:A35"/>
    </sheetView>
  </sheetViews>
  <sheetFormatPr defaultColWidth="9.140625" defaultRowHeight="11.25" customHeight="1"/>
  <cols>
    <col min="1" max="1" width="77.8515625" style="7" bestFit="1" customWidth="1"/>
    <col min="2" max="2" width="14.7109375" style="7" customWidth="1"/>
    <col min="3" max="3" width="14.7109375" style="29" customWidth="1"/>
    <col min="4" max="5" width="14.7109375" style="7" customWidth="1"/>
    <col min="6" max="61" width="15.7109375" style="7" customWidth="1"/>
    <col min="62" max="16384" width="0.9921875" style="7" customWidth="1"/>
  </cols>
  <sheetData>
    <row r="1" spans="1:5" ht="11.25" customHeight="1">
      <c r="A1" s="182" t="s">
        <v>25</v>
      </c>
      <c r="B1" s="182"/>
      <c r="C1" s="182"/>
      <c r="D1" s="182"/>
      <c r="E1" s="182"/>
    </row>
    <row r="2" spans="1:5" ht="11.25" customHeight="1">
      <c r="A2" s="170" t="s">
        <v>47</v>
      </c>
      <c r="B2" s="170"/>
      <c r="C2" s="170"/>
      <c r="D2" s="170"/>
      <c r="E2" s="170"/>
    </row>
    <row r="3" spans="1:5" ht="11.25" customHeight="1">
      <c r="A3" s="182" t="s">
        <v>121</v>
      </c>
      <c r="B3" s="182"/>
      <c r="C3" s="182"/>
      <c r="D3" s="182"/>
      <c r="E3" s="182"/>
    </row>
    <row r="4" spans="1:5" ht="11.25" customHeight="1">
      <c r="A4" s="182" t="s">
        <v>26</v>
      </c>
      <c r="B4" s="182"/>
      <c r="C4" s="182"/>
      <c r="D4" s="182"/>
      <c r="E4" s="182"/>
    </row>
    <row r="5" spans="1:5" ht="11.25" customHeight="1">
      <c r="A5" s="2"/>
      <c r="B5" s="2"/>
      <c r="C5" s="2"/>
      <c r="D5" s="2"/>
      <c r="E5" s="2"/>
    </row>
    <row r="6" spans="1:5" ht="11.25" customHeight="1">
      <c r="A6" s="7" t="s">
        <v>94</v>
      </c>
      <c r="B6" s="36"/>
      <c r="E6" s="1">
        <v>1</v>
      </c>
    </row>
    <row r="7" spans="1:5" s="6" customFormat="1" ht="21" customHeight="1">
      <c r="A7" s="44" t="s">
        <v>120</v>
      </c>
      <c r="B7" s="273" t="s">
        <v>127</v>
      </c>
      <c r="C7" s="318"/>
      <c r="D7" s="273" t="s">
        <v>129</v>
      </c>
      <c r="E7" s="312"/>
    </row>
    <row r="8" spans="1:6" ht="11.25" customHeight="1">
      <c r="A8" s="43" t="s">
        <v>124</v>
      </c>
      <c r="B8" s="306"/>
      <c r="C8" s="320"/>
      <c r="D8" s="306"/>
      <c r="E8" s="307"/>
      <c r="F8" s="61"/>
    </row>
    <row r="9" spans="1:6" ht="11.25" customHeight="1">
      <c r="A9" s="8" t="s">
        <v>88</v>
      </c>
      <c r="B9" s="310"/>
      <c r="C9" s="314"/>
      <c r="D9" s="310">
        <v>53889600</v>
      </c>
      <c r="E9" s="311"/>
      <c r="F9" s="61"/>
    </row>
    <row r="10" spans="1:6" ht="11.25" customHeight="1">
      <c r="A10" s="8" t="s">
        <v>89</v>
      </c>
      <c r="B10" s="310"/>
      <c r="C10" s="314"/>
      <c r="D10" s="310">
        <v>55145811.28</v>
      </c>
      <c r="E10" s="311"/>
      <c r="F10" s="61"/>
    </row>
    <row r="11" spans="1:6" ht="11.25" customHeight="1">
      <c r="A11" s="8" t="s">
        <v>103</v>
      </c>
      <c r="B11" s="310">
        <v>9146317.05</v>
      </c>
      <c r="C11" s="314"/>
      <c r="D11" s="310">
        <v>24277538.02</v>
      </c>
      <c r="E11" s="311"/>
      <c r="F11" s="61"/>
    </row>
    <row r="12" spans="1:6" ht="11.25" customHeight="1">
      <c r="A12" s="8" t="s">
        <v>104</v>
      </c>
      <c r="B12" s="310"/>
      <c r="C12" s="314"/>
      <c r="D12" s="310" t="s">
        <v>97</v>
      </c>
      <c r="E12" s="311"/>
      <c r="F12" s="61"/>
    </row>
    <row r="13" spans="1:6" ht="11.25" customHeight="1">
      <c r="A13" s="8" t="s">
        <v>105</v>
      </c>
      <c r="B13" s="315"/>
      <c r="C13" s="316"/>
      <c r="D13" s="310">
        <v>4519132.47</v>
      </c>
      <c r="E13" s="311"/>
      <c r="F13" s="61"/>
    </row>
    <row r="14" spans="1:6" ht="11.25" customHeight="1">
      <c r="A14" s="43" t="s">
        <v>1</v>
      </c>
      <c r="B14" s="310"/>
      <c r="C14" s="314"/>
      <c r="D14" s="310"/>
      <c r="E14" s="311"/>
      <c r="F14" s="311"/>
    </row>
    <row r="15" spans="1:6" ht="11.25" customHeight="1">
      <c r="A15" s="4" t="s">
        <v>106</v>
      </c>
      <c r="B15" s="310"/>
      <c r="C15" s="314"/>
      <c r="D15" s="310">
        <v>53889600</v>
      </c>
      <c r="E15" s="311"/>
      <c r="F15" s="61"/>
    </row>
    <row r="16" spans="1:6" ht="11.25" customHeight="1">
      <c r="A16" s="4" t="s">
        <v>111</v>
      </c>
      <c r="B16" s="310"/>
      <c r="C16" s="314"/>
      <c r="D16" s="310">
        <v>4612491.47</v>
      </c>
      <c r="E16" s="311"/>
      <c r="F16" s="61"/>
    </row>
    <row r="17" spans="1:6" ht="11.25" customHeight="1">
      <c r="A17" s="4" t="s">
        <v>107</v>
      </c>
      <c r="B17" s="310"/>
      <c r="C17" s="314"/>
      <c r="D17" s="310">
        <v>58502091.47</v>
      </c>
      <c r="E17" s="311"/>
      <c r="F17" s="61"/>
    </row>
    <row r="18" spans="1:6" ht="11.25" customHeight="1">
      <c r="A18" s="4" t="s">
        <v>108</v>
      </c>
      <c r="B18" s="310">
        <v>10770243.63</v>
      </c>
      <c r="C18" s="314"/>
      <c r="D18" s="310">
        <v>34782980.24</v>
      </c>
      <c r="E18" s="311"/>
      <c r="F18" s="61"/>
    </row>
    <row r="19" spans="1:6" ht="11.25" customHeight="1">
      <c r="A19" s="4" t="s">
        <v>109</v>
      </c>
      <c r="B19" s="310">
        <v>8761429.03</v>
      </c>
      <c r="C19" s="314"/>
      <c r="D19" s="310">
        <v>23194398.42</v>
      </c>
      <c r="E19" s="311"/>
      <c r="F19" s="61"/>
    </row>
    <row r="20" spans="1:6" ht="11.25" customHeight="1">
      <c r="A20" s="12" t="s">
        <v>110</v>
      </c>
      <c r="B20" s="308"/>
      <c r="C20" s="319"/>
      <c r="D20" s="308">
        <v>1083139.6</v>
      </c>
      <c r="E20" s="309"/>
      <c r="F20" s="61"/>
    </row>
    <row r="21" spans="1:5" s="6" customFormat="1" ht="21" customHeight="1">
      <c r="A21" s="44" t="s">
        <v>50</v>
      </c>
      <c r="B21" s="273" t="s">
        <v>127</v>
      </c>
      <c r="C21" s="318"/>
      <c r="D21" s="273" t="s">
        <v>129</v>
      </c>
      <c r="E21" s="312"/>
    </row>
    <row r="22" spans="1:5" ht="11.25" customHeight="1">
      <c r="A22" s="8" t="s">
        <v>48</v>
      </c>
      <c r="B22" s="306">
        <v>10770243.63</v>
      </c>
      <c r="C22" s="320"/>
      <c r="D22" s="306">
        <v>34782980.24</v>
      </c>
      <c r="E22" s="307"/>
    </row>
    <row r="23" spans="1:5" ht="11.25" customHeight="1">
      <c r="A23" s="17" t="s">
        <v>49</v>
      </c>
      <c r="B23" s="308">
        <v>8761429.03</v>
      </c>
      <c r="C23" s="319"/>
      <c r="D23" s="308">
        <v>23194398.42</v>
      </c>
      <c r="E23" s="309"/>
    </row>
    <row r="24" spans="1:5" s="6" customFormat="1" ht="23.25" customHeight="1">
      <c r="A24" s="3" t="s">
        <v>51</v>
      </c>
      <c r="B24" s="312"/>
      <c r="C24" s="318"/>
      <c r="D24" s="273" t="s">
        <v>129</v>
      </c>
      <c r="E24" s="312"/>
    </row>
    <row r="25" spans="1:5" ht="11.25" customHeight="1">
      <c r="A25" s="5" t="s">
        <v>52</v>
      </c>
      <c r="B25" s="5"/>
      <c r="C25" s="14"/>
      <c r="D25" s="281">
        <v>50462069.88</v>
      </c>
      <c r="E25" s="282"/>
    </row>
    <row r="26" spans="1:4" ht="11.25" customHeight="1">
      <c r="A26" s="4"/>
      <c r="B26" s="4"/>
      <c r="C26" s="28"/>
      <c r="D26" s="28"/>
    </row>
    <row r="27" spans="1:5" ht="11.25" customHeight="1">
      <c r="A27" s="25"/>
      <c r="B27" s="20" t="s">
        <v>53</v>
      </c>
      <c r="C27" s="20" t="s">
        <v>54</v>
      </c>
      <c r="D27" s="257" t="s">
        <v>55</v>
      </c>
      <c r="E27" s="313"/>
    </row>
    <row r="28" spans="1:5" ht="11.25" customHeight="1">
      <c r="A28" s="26" t="s">
        <v>56</v>
      </c>
      <c r="B28" s="21" t="s">
        <v>57</v>
      </c>
      <c r="C28" s="21" t="s">
        <v>129</v>
      </c>
      <c r="D28" s="11"/>
      <c r="E28" s="18"/>
    </row>
    <row r="29" spans="1:5" ht="11.25" customHeight="1">
      <c r="A29" s="8"/>
      <c r="B29" s="21" t="s">
        <v>58</v>
      </c>
      <c r="C29" s="21"/>
      <c r="D29" s="11"/>
      <c r="E29" s="18"/>
    </row>
    <row r="30" spans="1:5" ht="11.25" customHeight="1">
      <c r="A30" s="17"/>
      <c r="B30" s="23" t="s">
        <v>130</v>
      </c>
      <c r="C30" s="23" t="s">
        <v>131</v>
      </c>
      <c r="D30" s="262" t="s">
        <v>132</v>
      </c>
      <c r="E30" s="264"/>
    </row>
    <row r="31" spans="1:5" ht="11.25" customHeight="1">
      <c r="A31" s="8" t="s">
        <v>59</v>
      </c>
      <c r="B31" s="76">
        <v>-1417490</v>
      </c>
      <c r="C31" s="77">
        <v>-2064387.68</v>
      </c>
      <c r="D31" s="306">
        <f>C31/B31*100</f>
        <v>145.63684258795476</v>
      </c>
      <c r="E31" s="307"/>
    </row>
    <row r="32" spans="1:5" ht="11.25" customHeight="1">
      <c r="A32" s="17" t="s">
        <v>60</v>
      </c>
      <c r="B32" s="62">
        <v>729600</v>
      </c>
      <c r="C32" s="56">
        <v>895301.71</v>
      </c>
      <c r="D32" s="308">
        <f>C32/B32*100</f>
        <v>122.7113089364035</v>
      </c>
      <c r="E32" s="309"/>
    </row>
    <row r="34" spans="1:5" ht="11.25" customHeight="1">
      <c r="A34" s="317" t="s">
        <v>112</v>
      </c>
      <c r="B34" s="25" t="s">
        <v>61</v>
      </c>
      <c r="C34" s="20" t="s">
        <v>62</v>
      </c>
      <c r="D34" s="20" t="s">
        <v>63</v>
      </c>
      <c r="E34" s="30" t="s">
        <v>64</v>
      </c>
    </row>
    <row r="35" spans="1:5" ht="11.25" customHeight="1">
      <c r="A35" s="256"/>
      <c r="B35" s="24"/>
      <c r="C35" s="23" t="s">
        <v>129</v>
      </c>
      <c r="D35" s="23" t="s">
        <v>129</v>
      </c>
      <c r="E35" s="19" t="s">
        <v>100</v>
      </c>
    </row>
    <row r="36" spans="1:6" ht="11.25" customHeight="1">
      <c r="A36" s="8" t="s">
        <v>65</v>
      </c>
      <c r="B36" s="58">
        <f>SUM(B37:B40)</f>
        <v>815341.91</v>
      </c>
      <c r="C36" s="58">
        <f>SUM(C37:C40)</f>
        <v>89.8</v>
      </c>
      <c r="D36" s="58">
        <f>SUM(D37:D40)</f>
        <v>663148.8</v>
      </c>
      <c r="E36" s="59">
        <f>SUM(E37:E40)</f>
        <v>152103.31</v>
      </c>
      <c r="F36" s="4"/>
    </row>
    <row r="37" spans="1:6" ht="11.25" customHeight="1">
      <c r="A37" s="8" t="s">
        <v>66</v>
      </c>
      <c r="B37" s="58">
        <v>809341.91</v>
      </c>
      <c r="C37" s="58">
        <v>89.8</v>
      </c>
      <c r="D37" s="58">
        <v>663148.8</v>
      </c>
      <c r="E37" s="59">
        <v>146103.31</v>
      </c>
      <c r="F37" s="4"/>
    </row>
    <row r="38" spans="1:6" ht="11.25" customHeight="1">
      <c r="A38" s="8" t="s">
        <v>67</v>
      </c>
      <c r="B38" s="58">
        <v>6000</v>
      </c>
      <c r="C38" s="58">
        <v>0</v>
      </c>
      <c r="D38" s="58">
        <v>0</v>
      </c>
      <c r="E38" s="59">
        <v>6000</v>
      </c>
      <c r="F38" s="4"/>
    </row>
    <row r="39" spans="1:6" ht="11.25" customHeight="1">
      <c r="A39" s="8" t="s">
        <v>68</v>
      </c>
      <c r="B39" s="58">
        <v>0</v>
      </c>
      <c r="C39" s="58">
        <v>0</v>
      </c>
      <c r="D39" s="58">
        <v>0</v>
      </c>
      <c r="E39" s="59">
        <v>0</v>
      </c>
      <c r="F39" s="4"/>
    </row>
    <row r="40" spans="1:6" ht="11.25" customHeight="1">
      <c r="A40" s="8" t="s">
        <v>69</v>
      </c>
      <c r="B40" s="58">
        <v>0</v>
      </c>
      <c r="C40" s="58">
        <v>0</v>
      </c>
      <c r="D40" s="58">
        <v>0</v>
      </c>
      <c r="E40" s="59">
        <v>0</v>
      </c>
      <c r="F40" s="4"/>
    </row>
    <row r="41" spans="1:6" ht="11.25" customHeight="1">
      <c r="A41" s="8" t="s">
        <v>70</v>
      </c>
      <c r="B41" s="58">
        <f>SUM(B42:B45)</f>
        <v>375280.93</v>
      </c>
      <c r="C41" s="58">
        <f>SUM(C42:C45)</f>
        <v>24252.25</v>
      </c>
      <c r="D41" s="58">
        <f>SUM(D42:D45)</f>
        <v>351028.68</v>
      </c>
      <c r="E41" s="59">
        <f>SUM(E42:E45)</f>
        <v>0</v>
      </c>
      <c r="F41" s="4"/>
    </row>
    <row r="42" spans="1:5" ht="11.25" customHeight="1">
      <c r="A42" s="8" t="s">
        <v>66</v>
      </c>
      <c r="B42" s="58">
        <v>375280.93</v>
      </c>
      <c r="C42" s="51">
        <v>24252.25</v>
      </c>
      <c r="D42" s="51">
        <v>351028.68</v>
      </c>
      <c r="E42" s="59">
        <v>0</v>
      </c>
    </row>
    <row r="43" spans="1:5" ht="11.25" customHeight="1">
      <c r="A43" s="8" t="s">
        <v>67</v>
      </c>
      <c r="B43" s="58">
        <v>0</v>
      </c>
      <c r="C43" s="51">
        <v>0</v>
      </c>
      <c r="D43" s="51">
        <v>0</v>
      </c>
      <c r="E43" s="59">
        <v>0</v>
      </c>
    </row>
    <row r="44" spans="1:5" ht="11.25" customHeight="1">
      <c r="A44" s="8" t="s">
        <v>68</v>
      </c>
      <c r="B44" s="58">
        <v>0</v>
      </c>
      <c r="C44" s="51">
        <v>0</v>
      </c>
      <c r="D44" s="51">
        <v>0</v>
      </c>
      <c r="E44" s="59">
        <v>0</v>
      </c>
    </row>
    <row r="45" spans="1:5" ht="11.25" customHeight="1">
      <c r="A45" s="8" t="s">
        <v>69</v>
      </c>
      <c r="B45" s="58">
        <v>0</v>
      </c>
      <c r="C45" s="51">
        <v>0</v>
      </c>
      <c r="D45" s="51">
        <v>0</v>
      </c>
      <c r="E45" s="59">
        <v>0</v>
      </c>
    </row>
    <row r="46" spans="1:6" ht="11.25" customHeight="1">
      <c r="A46" s="14" t="s">
        <v>8</v>
      </c>
      <c r="B46" s="60">
        <f>B36+B41</f>
        <v>1190622.84</v>
      </c>
      <c r="C46" s="60">
        <f>C36+C41</f>
        <v>24342.05</v>
      </c>
      <c r="D46" s="60">
        <f>D36+D41</f>
        <v>1014177.48</v>
      </c>
      <c r="E46" s="46">
        <f>E36+E41</f>
        <v>152103.31</v>
      </c>
      <c r="F46" s="4"/>
    </row>
    <row r="47" spans="1:5" ht="11.25" customHeight="1">
      <c r="A47" s="25"/>
      <c r="B47" s="30" t="s">
        <v>71</v>
      </c>
      <c r="C47" s="122" t="s">
        <v>72</v>
      </c>
      <c r="D47" s="155"/>
      <c r="E47" s="155"/>
    </row>
    <row r="48" spans="1:5" ht="11.25" customHeight="1">
      <c r="A48" s="26" t="s">
        <v>113</v>
      </c>
      <c r="B48" s="18" t="s">
        <v>129</v>
      </c>
      <c r="C48" s="10" t="s">
        <v>73</v>
      </c>
      <c r="D48" s="257" t="s">
        <v>83</v>
      </c>
      <c r="E48" s="259"/>
    </row>
    <row r="49" spans="1:5" ht="11.25" customHeight="1">
      <c r="A49" s="24"/>
      <c r="B49" s="24"/>
      <c r="C49" s="23" t="s">
        <v>84</v>
      </c>
      <c r="D49" s="13"/>
      <c r="E49" s="19"/>
    </row>
    <row r="50" spans="1:5" ht="11.25" customHeight="1">
      <c r="A50" s="8" t="s">
        <v>27</v>
      </c>
      <c r="B50" s="58">
        <v>4070417.81</v>
      </c>
      <c r="C50" s="37">
        <v>0.25</v>
      </c>
      <c r="D50" s="306">
        <v>24.2</v>
      </c>
      <c r="E50" s="307"/>
    </row>
    <row r="51" spans="1:5" ht="11.25" customHeight="1">
      <c r="A51" s="8" t="s">
        <v>114</v>
      </c>
      <c r="B51" s="58"/>
      <c r="C51" s="37"/>
      <c r="D51" s="310"/>
      <c r="E51" s="311"/>
    </row>
    <row r="52" spans="1:6" ht="11.25" customHeight="1">
      <c r="A52" s="8" t="s">
        <v>115</v>
      </c>
      <c r="B52" s="58">
        <v>3467583.56</v>
      </c>
      <c r="C52" s="37">
        <v>0.6</v>
      </c>
      <c r="D52" s="310">
        <v>67.45</v>
      </c>
      <c r="E52" s="311"/>
      <c r="F52" s="61"/>
    </row>
    <row r="53" spans="1:5" ht="11.25" customHeight="1">
      <c r="A53" s="17" t="s">
        <v>116</v>
      </c>
      <c r="B53" s="62"/>
      <c r="C53" s="38" t="s">
        <v>97</v>
      </c>
      <c r="D53" s="304"/>
      <c r="E53" s="305"/>
    </row>
    <row r="54" spans="1:5" ht="11.25" customHeight="1">
      <c r="A54" s="25"/>
      <c r="B54" s="30" t="s">
        <v>85</v>
      </c>
      <c r="C54" s="122" t="s">
        <v>86</v>
      </c>
      <c r="D54" s="155"/>
      <c r="E54" s="155"/>
    </row>
    <row r="55" spans="1:5" ht="11.25" customHeight="1">
      <c r="A55" s="26" t="s">
        <v>34</v>
      </c>
      <c r="B55" s="18" t="s">
        <v>129</v>
      </c>
      <c r="C55" s="10" t="s">
        <v>73</v>
      </c>
      <c r="D55" s="257" t="s">
        <v>83</v>
      </c>
      <c r="E55" s="259"/>
    </row>
    <row r="56" spans="1:5" ht="11.25" customHeight="1">
      <c r="A56" s="24"/>
      <c r="B56" s="17"/>
      <c r="C56" s="23" t="s">
        <v>84</v>
      </c>
      <c r="D56" s="13"/>
      <c r="E56" s="19"/>
    </row>
    <row r="57" spans="1:5" ht="11.25" customHeight="1">
      <c r="A57" s="14" t="s">
        <v>87</v>
      </c>
      <c r="B57" s="60">
        <f>'Anexo XVI - Saúde '!E47</f>
        <v>3255199.340000001</v>
      </c>
      <c r="C57" s="78">
        <v>15</v>
      </c>
      <c r="D57" s="122">
        <v>19.35</v>
      </c>
      <c r="E57" s="155"/>
    </row>
    <row r="58" spans="1:5" ht="11.25" customHeight="1">
      <c r="A58" s="5"/>
      <c r="B58" s="5"/>
      <c r="C58" s="39"/>
      <c r="D58" s="5"/>
      <c r="E58" s="5"/>
    </row>
    <row r="59" ht="11.25" customHeight="1">
      <c r="A59" s="7" t="s">
        <v>7</v>
      </c>
    </row>
    <row r="64" spans="1:6" ht="11.25" customHeight="1">
      <c r="A64" s="63" t="s">
        <v>142</v>
      </c>
      <c r="B64" s="64"/>
      <c r="C64" s="65"/>
      <c r="D64" s="65" t="s">
        <v>137</v>
      </c>
      <c r="F64" s="65"/>
    </row>
    <row r="65" spans="1:6" ht="11.25" customHeight="1">
      <c r="A65" s="18" t="s">
        <v>143</v>
      </c>
      <c r="B65" s="64"/>
      <c r="C65" s="4"/>
      <c r="D65" s="321" t="s">
        <v>138</v>
      </c>
      <c r="E65" s="321"/>
      <c r="F65" s="321"/>
    </row>
  </sheetData>
  <mergeCells count="56">
    <mergeCell ref="D57:E57"/>
    <mergeCell ref="D65:F65"/>
    <mergeCell ref="D55:E55"/>
    <mergeCell ref="A1:E1"/>
    <mergeCell ref="A2:E2"/>
    <mergeCell ref="A3:E3"/>
    <mergeCell ref="A4:E4"/>
    <mergeCell ref="B7:C7"/>
    <mergeCell ref="D7:E7"/>
    <mergeCell ref="B14:C14"/>
    <mergeCell ref="B8:C8"/>
    <mergeCell ref="B9:C9"/>
    <mergeCell ref="B10:C10"/>
    <mergeCell ref="B11:C11"/>
    <mergeCell ref="A34:A35"/>
    <mergeCell ref="B21:C21"/>
    <mergeCell ref="B20:C20"/>
    <mergeCell ref="B24:C24"/>
    <mergeCell ref="B22:C22"/>
    <mergeCell ref="B23:C23"/>
    <mergeCell ref="C54:E54"/>
    <mergeCell ref="D48:E48"/>
    <mergeCell ref="B12:C12"/>
    <mergeCell ref="B13:C13"/>
    <mergeCell ref="B15:C15"/>
    <mergeCell ref="B16:C16"/>
    <mergeCell ref="B17:C17"/>
    <mergeCell ref="B18:C18"/>
    <mergeCell ref="B19:C19"/>
    <mergeCell ref="D12:E12"/>
    <mergeCell ref="D8:E8"/>
    <mergeCell ref="D9:E9"/>
    <mergeCell ref="D10:E10"/>
    <mergeCell ref="D11:E11"/>
    <mergeCell ref="D13:E13"/>
    <mergeCell ref="D14:F14"/>
    <mergeCell ref="D15:E15"/>
    <mergeCell ref="D16:E16"/>
    <mergeCell ref="D17:E17"/>
    <mergeCell ref="D18:E18"/>
    <mergeCell ref="D19:E19"/>
    <mergeCell ref="D20:E20"/>
    <mergeCell ref="D22:E22"/>
    <mergeCell ref="D23:E23"/>
    <mergeCell ref="D21:E21"/>
    <mergeCell ref="D52:E52"/>
    <mergeCell ref="D24:E24"/>
    <mergeCell ref="D27:E27"/>
    <mergeCell ref="D25:E25"/>
    <mergeCell ref="D30:E30"/>
    <mergeCell ref="D53:E53"/>
    <mergeCell ref="D31:E31"/>
    <mergeCell ref="D32:E32"/>
    <mergeCell ref="D50:E50"/>
    <mergeCell ref="D51:E51"/>
    <mergeCell ref="C47:E47"/>
  </mergeCells>
  <printOptions horizontalCentered="1"/>
  <pageMargins left="0.2" right="0.19" top="0.66" bottom="0.35" header="0.24" footer="0.17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Ministério da Fazenda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Anexos RREO</dc:title>
  <dc:subject/>
  <dc:creator>GEINC/CCONT/STN</dc:creator>
  <cp:keywords/>
  <dc:description/>
  <cp:lastModifiedBy>t-gambati</cp:lastModifiedBy>
  <cp:lastPrinted>2009-07-21T17:54:20Z</cp:lastPrinted>
  <dcterms:created xsi:type="dcterms:W3CDTF">2004-08-09T19:29:24Z</dcterms:created>
  <dcterms:modified xsi:type="dcterms:W3CDTF">2009-07-21T17:57:54Z</dcterms:modified>
  <cp:category/>
  <cp:version/>
  <cp:contentType/>
  <cp:contentStatus/>
</cp:coreProperties>
</file>